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mc:AlternateContent xmlns:mc="http://schemas.openxmlformats.org/markup-compatibility/2006">
    <mc:Choice Requires="x15">
      <x15ac:absPath xmlns:x15ac="http://schemas.microsoft.com/office/spreadsheetml/2010/11/ac" url="Y:\ACTIVITE\Z-PUBLICATIONS 2007-2025\CHIFFRES CLES 2025\MANUSCRIT\3. Financement de la culture\"/>
    </mc:Choice>
  </mc:AlternateContent>
  <xr:revisionPtr revIDLastSave="0" documentId="8_{8BDEE9DA-4FE9-413A-84E0-C898328CB5EB}" xr6:coauthVersionLast="47" xr6:coauthVersionMax="47" xr10:uidLastSave="{00000000-0000-0000-0000-000000000000}"/>
  <bookViews>
    <workbookView xWindow="28680" yWindow="-120" windowWidth="29040" windowHeight="15720" tabRatio="716" activeTab="2" xr2:uid="{00000000-000D-0000-FFFF-FFFF00000000}"/>
  </bookViews>
  <sheets>
    <sheet name="Sommaire" sheetId="1" r:id="rId1"/>
    <sheet name="Feuil1" sheetId="14" state="hidden" r:id="rId2"/>
    <sheet name="Tableau 1" sheetId="2" r:id="rId3"/>
    <sheet name="Tableau 2  " sheetId="3" r:id="rId4"/>
    <sheet name="Feuil2" sheetId="18" state="hidden" r:id="rId5"/>
    <sheet name="Tableau 3 " sheetId="4" r:id="rId6"/>
    <sheet name="Liste EP" sheetId="12" state="hidden" r:id="rId7"/>
    <sheet name="SCN" sheetId="13" state="hidden" r:id="rId8"/>
    <sheet name="Graphique 1" sheetId="7" r:id="rId9"/>
    <sheet name="Graphique 2" sheetId="9" r:id="rId10"/>
    <sheet name="Tableau 4" sheetId="8" r:id="rId11"/>
    <sheet name="Tableau 5 " sheetId="5" r:id="rId12"/>
    <sheet name="Tableau 6" sheetId="6" r:id="rId13"/>
    <sheet name="Graphique 3" sheetId="17" r:id="rId14"/>
  </sheets>
  <definedNames>
    <definedName name="Graphique_3._Recettes_publicitaires_des_grands_médias__2005_2015" localSheetId="13">#REF!</definedName>
    <definedName name="Graphique_3._Recettes_publicitaires_des_grands_médias__2005_2015">#REF!</definedName>
    <definedName name="Z_254CA843_A8D1_434E_AB9C_F327B1D1E748_.wvu.PrintArea" localSheetId="2" hidden="1">'Tableau 1'!$B$2:$C$21</definedName>
    <definedName name="Z_254CA843_A8D1_434E_AB9C_F327B1D1E748_.wvu.PrintArea" localSheetId="10" hidden="1">'Tableau 4'!#REF!</definedName>
    <definedName name="Z_254CA843_A8D1_434E_AB9C_F327B1D1E748_.wvu.PrintArea" localSheetId="11" hidden="1">'Tableau 5 '!$A$1:$K$1</definedName>
    <definedName name="Z_254CA843_A8D1_434E_AB9C_F327B1D1E748_.wvu.PrintArea" localSheetId="12" hidden="1">'Tableau 6'!$K$1:$K$15</definedName>
    <definedName name="Z_A4014A12_8077_400D_909C_C8C0AE2652D2_.wvu.PrintArea" localSheetId="2" hidden="1">'Tableau 1'!$B$2:$C$21</definedName>
    <definedName name="Z_A4014A12_8077_400D_909C_C8C0AE2652D2_.wvu.PrintArea" localSheetId="10" hidden="1">'Tableau 4'!#REF!</definedName>
    <definedName name="Z_A4014A12_8077_400D_909C_C8C0AE2652D2_.wvu.PrintArea" localSheetId="11" hidden="1">'Tableau 5 '!$A$1:$K$1</definedName>
    <definedName name="Z_A4014A12_8077_400D_909C_C8C0AE2652D2_.wvu.PrintArea" localSheetId="12" hidden="1">'Tableau 6'!$K$1:$K$15</definedName>
    <definedName name="Z_B5EA72E7_EF27_46AE_B0E4_CAECE2734832_.wvu.PrintArea" localSheetId="2" hidden="1">'Tableau 1'!$B$2:$C$21</definedName>
    <definedName name="Z_B5EA72E7_EF27_46AE_B0E4_CAECE2734832_.wvu.PrintArea" localSheetId="10" hidden="1">'Tableau 4'!#REF!</definedName>
    <definedName name="Z_B5EA72E7_EF27_46AE_B0E4_CAECE2734832_.wvu.PrintArea" localSheetId="11" hidden="1">'Tableau 5 '!$A$1:$K$1</definedName>
    <definedName name="Z_B5EA72E7_EF27_46AE_B0E4_CAECE2734832_.wvu.PrintArea" localSheetId="12" hidden="1">'Tableau 6'!$K$1:$K$15</definedName>
    <definedName name="Z_D4A8130B_E15E_430B_BC62_FA365B34E0AF_.wvu.PrintArea" localSheetId="2" hidden="1">'Tableau 1'!$B$2:$C$21</definedName>
    <definedName name="Z_D4A8130B_E15E_430B_BC62_FA365B34E0AF_.wvu.PrintArea" localSheetId="10" hidden="1">'Tableau 4'!#REF!</definedName>
    <definedName name="Z_D4A8130B_E15E_430B_BC62_FA365B34E0AF_.wvu.PrintArea" localSheetId="11" hidden="1">'Tableau 5 '!$A$1:$K$1</definedName>
    <definedName name="Z_D4A8130B_E15E_430B_BC62_FA365B34E0AF_.wvu.PrintArea" localSheetId="12" hidden="1">'Tableau 6'!$K$1:$K$15</definedName>
    <definedName name="Z_D7C60D54_F168_4802_9C20_D9E241B3AC75_.wvu.PrintArea" localSheetId="2" hidden="1">'Tableau 1'!$B$2:$C$21</definedName>
    <definedName name="Z_D7C60D54_F168_4802_9C20_D9E241B3AC75_.wvu.PrintArea" localSheetId="10" hidden="1">'Tableau 4'!#REF!</definedName>
    <definedName name="Z_D7C60D54_F168_4802_9C20_D9E241B3AC75_.wvu.PrintArea" localSheetId="11" hidden="1">'Tableau 5 '!$A$1:$K$1</definedName>
    <definedName name="Z_D7C60D54_F168_4802_9C20_D9E241B3AC75_.wvu.PrintArea" localSheetId="12" hidden="1">'Tableau 6'!$K$1:$K$15</definedName>
    <definedName name="Z_EF36F323_8F00_4DED_B12A_4D51E72FA301_.wvu.PrintArea" localSheetId="2" hidden="1">'Tableau 1'!$B$2:$C$21</definedName>
    <definedName name="Z_EF36F323_8F00_4DED_B12A_4D51E72FA301_.wvu.PrintArea" localSheetId="10" hidden="1">'Tableau 4'!#REF!</definedName>
    <definedName name="Z_EF36F323_8F00_4DED_B12A_4D51E72FA301_.wvu.PrintArea" localSheetId="11" hidden="1">'Tableau 5 '!$A$1:$K$1</definedName>
    <definedName name="Z_EF36F323_8F00_4DED_B12A_4D51E72FA301_.wvu.PrintArea" localSheetId="12" hidden="1">'Tableau 6'!$K$1:$K$15</definedName>
    <definedName name="_xlnm.Print_Area" localSheetId="2">'Tableau 1'!$B$2:$C$21</definedName>
    <definedName name="_xlnm.Print_Area" localSheetId="11">'Tableau 5 '!$A$1:$K$1</definedName>
    <definedName name="_xlnm.Print_Area" localSheetId="12">'Tableau 6'!$K$1:$K$15</definedName>
  </definedNames>
  <calcPr calcId="191029"/>
  <customWorkbookViews>
    <customWorkbookView name="NICOLAS Yann - Affichage personnalisé" guid="{B5EA72E7-EF27-46AE-B0E4-CAECE2734832}" mergeInterval="0" personalView="1" maximized="1" xWindow="-8" yWindow="-8" windowWidth="1382" windowHeight="744" tabRatio="722" activeSheetId="10"/>
    <customWorkbookView name="DELVAINQUIERE Jean-cédric - Affichage personnalisé" guid="{D7C60D54-F168-4802-9C20-D9E241B3AC75}" mergeInterval="0" personalView="1" maximized="1" xWindow="-8" yWindow="-8" windowWidth="1936" windowHeight="1053" tabRatio="722" activeSheetId="4"/>
    <customWorkbookView name="edwige.millery - Affichage personnalisé" guid="{D4A8130B-E15E-430B-BC62-FA365B34E0AF}" mergeInterval="0" personalView="1" xWindow="55" windowWidth="1419" windowHeight="1040" tabRatio="722" activeSheetId="1"/>
    <customWorkbookView name="marc.henninger - Affichage personnalisé" guid="{EF36F323-8F00-4DED-B12A-4D51E72FA301}" mergeInterval="0" personalView="1" maximized="1" xWindow="-8" yWindow="-8" windowWidth="1936" windowHeight="1056" tabRatio="722" activeSheetId="1"/>
    <customWorkbookView name="jean-philippe rathle - Affichage personnalisé" guid="{A4014A12-8077-400D-909C-C8C0AE2652D2}" mergeInterval="0" personalView="1" maximized="1" xWindow="-8" yWindow="-8" windowWidth="1936" windowHeight="1056" tabRatio="722" activeSheetId="10"/>
    <customWorkbookView name="Utilisateur - Affichage personnalisé" guid="{254CA843-A8D1-434E-AB9C-F327B1D1E748}" mergeInterval="0" personalView="1" maximized="1" xWindow="-9" yWindow="-9" windowWidth="1938" windowHeight="1050" tabRatio="722" activeSheetId="7"/>
  </customWorkbookViews>
  <pivotCaches>
    <pivotCache cacheId="0"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2" l="1"/>
  <c r="L16" i="2"/>
  <c r="L15" i="2"/>
  <c r="L14" i="2"/>
  <c r="L11" i="2"/>
  <c r="L10" i="2"/>
  <c r="L9" i="2"/>
  <c r="L8" i="2"/>
  <c r="L7" i="2"/>
  <c r="L6" i="2"/>
  <c r="O25" i="4" l="1"/>
  <c r="O24" i="4"/>
  <c r="O22" i="4"/>
  <c r="O20" i="4"/>
  <c r="O19" i="4"/>
  <c r="O18" i="4"/>
  <c r="O16" i="4"/>
  <c r="O14" i="4"/>
  <c r="O13" i="4"/>
  <c r="O12" i="4"/>
  <c r="O11" i="4"/>
  <c r="O10" i="4"/>
  <c r="O9" i="4"/>
  <c r="O8" i="4"/>
  <c r="O7" i="4"/>
  <c r="O6" i="4"/>
  <c r="N26" i="4"/>
  <c r="X19" i="2"/>
  <c r="X11" i="2"/>
  <c r="X16" i="2"/>
  <c r="X15" i="2"/>
  <c r="U14" i="2"/>
  <c r="Q53" i="2"/>
  <c r="X7" i="2"/>
  <c r="X8" i="2"/>
  <c r="X9" i="2"/>
  <c r="X10" i="2"/>
  <c r="U6" i="2"/>
  <c r="K79" i="9"/>
  <c r="K53" i="9" s="1"/>
  <c r="K28" i="4"/>
  <c r="N6" i="4"/>
  <c r="K6" i="4"/>
  <c r="K25" i="4" s="1"/>
  <c r="P9" i="5"/>
  <c r="M14" i="2"/>
  <c r="M6" i="2"/>
  <c r="J76" i="9"/>
  <c r="I76" i="9"/>
  <c r="H76" i="9"/>
  <c r="G76" i="9"/>
  <c r="F76" i="9"/>
  <c r="E76" i="9"/>
  <c r="D76" i="9"/>
  <c r="C76" i="9"/>
  <c r="B76" i="9"/>
  <c r="B74" i="9"/>
  <c r="C74" i="9"/>
  <c r="D74" i="9"/>
  <c r="E74" i="9"/>
  <c r="F74" i="9"/>
  <c r="M17" i="2" l="1"/>
  <c r="U17" i="2"/>
  <c r="L54" i="9"/>
  <c r="L72" i="9"/>
  <c r="E75" i="9"/>
  <c r="D75" i="9"/>
  <c r="C75" i="9"/>
  <c r="F75" i="9"/>
  <c r="N17" i="2" l="1"/>
  <c r="N16" i="2"/>
  <c r="N15" i="2"/>
  <c r="N11" i="2"/>
  <c r="N10" i="2"/>
  <c r="N9" i="2"/>
  <c r="N8" i="2"/>
  <c r="N7" i="2"/>
  <c r="N14" i="2"/>
  <c r="N6" i="2"/>
  <c r="V14" i="2"/>
  <c r="V11" i="2"/>
  <c r="V10" i="2"/>
  <c r="U21" i="2"/>
  <c r="V16" i="2"/>
  <c r="V15" i="2"/>
  <c r="V9" i="2"/>
  <c r="V8" i="2"/>
  <c r="V7" i="2"/>
  <c r="V17" i="2"/>
  <c r="V6" i="2"/>
  <c r="V6" i="4"/>
  <c r="Z9" i="5"/>
  <c r="Z11" i="5"/>
  <c r="Z13" i="5"/>
  <c r="Z8" i="5"/>
  <c r="W12" i="5"/>
  <c r="W14" i="5" s="1"/>
  <c r="U12" i="5"/>
  <c r="R12" i="5"/>
  <c r="R14" i="5" s="1"/>
  <c r="S13" i="5" s="1"/>
  <c r="V8" i="4"/>
  <c r="V9" i="4"/>
  <c r="V10" i="4"/>
  <c r="V11" i="4"/>
  <c r="V12" i="4"/>
  <c r="V13" i="4"/>
  <c r="V14" i="4"/>
  <c r="V15" i="4"/>
  <c r="V16" i="4"/>
  <c r="V17" i="4"/>
  <c r="V18" i="4"/>
  <c r="V19" i="4"/>
  <c r="V20" i="4"/>
  <c r="V21" i="4"/>
  <c r="V22" i="4"/>
  <c r="V7" i="4"/>
  <c r="D3" i="18"/>
  <c r="D4" i="18"/>
  <c r="D5" i="18"/>
  <c r="D6" i="18"/>
  <c r="D2" i="18"/>
  <c r="G60" i="18"/>
  <c r="D10" i="18"/>
  <c r="D11" i="18"/>
  <c r="D12" i="18"/>
  <c r="D13" i="18"/>
  <c r="D14" i="18"/>
  <c r="D15" i="18"/>
  <c r="D16" i="18"/>
  <c r="D17" i="18"/>
  <c r="D18" i="18"/>
  <c r="D19" i="18"/>
  <c r="D20" i="18"/>
  <c r="D21" i="18"/>
  <c r="D22" i="18"/>
  <c r="D23" i="18"/>
  <c r="D24" i="18"/>
  <c r="D25" i="18"/>
  <c r="D26" i="18"/>
  <c r="D27" i="18"/>
  <c r="D28" i="18"/>
  <c r="D29" i="18"/>
  <c r="D30" i="18"/>
  <c r="D31" i="18"/>
  <c r="D32" i="18"/>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9" i="18"/>
  <c r="E9" i="18" s="1"/>
  <c r="P6" i="4"/>
  <c r="Y7" i="2"/>
  <c r="Y8" i="2"/>
  <c r="Y9" i="2"/>
  <c r="Y10" i="2"/>
  <c r="Y11" i="2"/>
  <c r="Y15" i="2"/>
  <c r="Y16" i="2"/>
  <c r="AA15" i="2"/>
  <c r="AA16" i="2"/>
  <c r="AA7" i="2"/>
  <c r="AA8" i="2"/>
  <c r="AA9" i="2"/>
  <c r="AA10" i="2"/>
  <c r="AA11" i="2"/>
  <c r="Z16" i="2"/>
  <c r="Z15" i="2"/>
  <c r="Z8" i="2"/>
  <c r="Z9" i="2"/>
  <c r="Z10" i="2"/>
  <c r="Z11" i="2"/>
  <c r="Z7" i="2"/>
  <c r="K27" i="2"/>
  <c r="K28" i="2" s="1"/>
  <c r="K74" i="9"/>
  <c r="J74" i="9"/>
  <c r="I74" i="9"/>
  <c r="H74" i="9"/>
  <c r="G74" i="9"/>
  <c r="G75" i="9" s="1"/>
  <c r="O20" i="6"/>
  <c r="M20" i="6"/>
  <c r="L20" i="6"/>
  <c r="O22" i="6"/>
  <c r="M22" i="6"/>
  <c r="L22" i="6"/>
  <c r="O23" i="6"/>
  <c r="M23" i="6"/>
  <c r="L23" i="6"/>
  <c r="M33" i="6"/>
  <c r="L33" i="6"/>
  <c r="M31" i="6"/>
  <c r="L31" i="6"/>
  <c r="N19" i="6"/>
  <c r="N17" i="6" s="1"/>
  <c r="N8" i="6"/>
  <c r="O33" i="6"/>
  <c r="O31" i="6"/>
  <c r="O8" i="6"/>
  <c r="M8" i="6"/>
  <c r="L8" i="6"/>
  <c r="J19" i="6"/>
  <c r="J17" i="6" s="1"/>
  <c r="J8" i="6"/>
  <c r="K75" i="9" l="1"/>
  <c r="J75" i="9"/>
  <c r="H75" i="9"/>
  <c r="I75" i="9"/>
  <c r="Z12" i="5"/>
  <c r="U14" i="5"/>
  <c r="Z14" i="5" s="1"/>
  <c r="X9" i="5"/>
  <c r="E10" i="18"/>
  <c r="E11" i="18" s="1"/>
  <c r="E12" i="18" s="1"/>
  <c r="E13" i="18" s="1"/>
  <c r="E14" i="18" s="1"/>
  <c r="E15" i="18" s="1"/>
  <c r="E16" i="18" s="1"/>
  <c r="E17" i="18" s="1"/>
  <c r="E18" i="18" s="1"/>
  <c r="E19" i="18" s="1"/>
  <c r="E20" i="18" s="1"/>
  <c r="E21" i="18" s="1"/>
  <c r="E22" i="18" s="1"/>
  <c r="E23" i="18" s="1"/>
  <c r="E24" i="18" s="1"/>
  <c r="E25" i="18" s="1"/>
  <c r="E26" i="18" s="1"/>
  <c r="E27" i="18" s="1"/>
  <c r="E28" i="18" s="1"/>
  <c r="E29" i="18" s="1"/>
  <c r="E30" i="18" s="1"/>
  <c r="E31" i="18" s="1"/>
  <c r="E32" i="18" s="1"/>
  <c r="E33" i="18" s="1"/>
  <c r="E34" i="18" s="1"/>
  <c r="E35" i="18" s="1"/>
  <c r="E36" i="18" s="1"/>
  <c r="E37" i="18" s="1"/>
  <c r="E38" i="18" s="1"/>
  <c r="E39" i="18" s="1"/>
  <c r="E40" i="18" s="1"/>
  <c r="E41" i="18" s="1"/>
  <c r="E42" i="18" s="1"/>
  <c r="E43" i="18" s="1"/>
  <c r="E44" i="18" s="1"/>
  <c r="E45" i="18" s="1"/>
  <c r="E46" i="18" s="1"/>
  <c r="E47" i="18" s="1"/>
  <c r="E48" i="18" s="1"/>
  <c r="E49" i="18" s="1"/>
  <c r="E50" i="18" s="1"/>
  <c r="E51" i="18" s="1"/>
  <c r="E52" i="18" s="1"/>
  <c r="E53" i="18" s="1"/>
  <c r="E54" i="18" s="1"/>
  <c r="E55" i="18" s="1"/>
  <c r="E56" i="18" s="1"/>
  <c r="E57" i="18" s="1"/>
  <c r="E58" i="18" s="1"/>
  <c r="E59" i="18" s="1"/>
  <c r="E60" i="18" s="1"/>
  <c r="X13" i="5"/>
  <c r="S11" i="5"/>
  <c r="S12" i="5"/>
  <c r="S14" i="5"/>
  <c r="S8" i="5"/>
  <c r="S9" i="5"/>
  <c r="O19" i="6"/>
  <c r="O17" i="6" s="1"/>
  <c r="M19" i="6"/>
  <c r="M17" i="6" s="1"/>
  <c r="L19" i="6"/>
  <c r="L17" i="6" s="1"/>
  <c r="X8" i="5"/>
  <c r="X12" i="5"/>
  <c r="X14" i="5"/>
  <c r="X11" i="5"/>
  <c r="V14" i="5" l="1"/>
  <c r="V11" i="5"/>
  <c r="V13" i="5"/>
  <c r="V8" i="5"/>
  <c r="V12" i="5"/>
  <c r="V9" i="5"/>
  <c r="U25" i="4"/>
  <c r="U24" i="4"/>
  <c r="U22" i="4"/>
  <c r="U20" i="4"/>
  <c r="U19" i="4"/>
  <c r="U18" i="4"/>
  <c r="U16" i="4"/>
  <c r="U8" i="4"/>
  <c r="U9" i="4"/>
  <c r="U10" i="4"/>
  <c r="U11" i="4"/>
  <c r="U12" i="4"/>
  <c r="U13" i="4"/>
  <c r="U14" i="4"/>
  <c r="U7" i="4"/>
  <c r="U6" i="4"/>
  <c r="M6" i="4"/>
  <c r="S26" i="4"/>
  <c r="S27" i="2"/>
  <c r="W27" i="2"/>
  <c r="W19" i="2"/>
  <c r="W16" i="2"/>
  <c r="W15" i="2"/>
  <c r="W11" i="2"/>
  <c r="W10" i="2"/>
  <c r="W9" i="2"/>
  <c r="W8" i="2"/>
  <c r="W7" i="2"/>
  <c r="S14" i="2"/>
  <c r="S6" i="2"/>
  <c r="Q26" i="4"/>
  <c r="R8" i="4"/>
  <c r="S6" i="4"/>
  <c r="Q6" i="4"/>
  <c r="Q25" i="4" s="1"/>
  <c r="R7" i="4"/>
  <c r="R24" i="4"/>
  <c r="R22" i="4"/>
  <c r="R20" i="4"/>
  <c r="R19" i="4"/>
  <c r="R18" i="4"/>
  <c r="R16" i="4"/>
  <c r="R13" i="4"/>
  <c r="R14" i="4"/>
  <c r="R9" i="4"/>
  <c r="R10" i="4"/>
  <c r="R11" i="4"/>
  <c r="R12" i="4"/>
  <c r="S25" i="4"/>
  <c r="T7" i="4"/>
  <c r="T8" i="4"/>
  <c r="T9" i="4"/>
  <c r="T10" i="4"/>
  <c r="T11" i="4"/>
  <c r="T12" i="4"/>
  <c r="T13" i="4"/>
  <c r="T14" i="4"/>
  <c r="T16" i="4"/>
  <c r="T18" i="4"/>
  <c r="T19" i="4"/>
  <c r="T20" i="4"/>
  <c r="T22" i="4"/>
  <c r="T24" i="4"/>
  <c r="M55" i="3"/>
  <c r="M58" i="3"/>
  <c r="M46" i="3"/>
  <c r="M48" i="3"/>
  <c r="M30" i="3"/>
  <c r="M28" i="3"/>
  <c r="N51" i="3"/>
  <c r="P51" i="3" s="1"/>
  <c r="N50" i="3"/>
  <c r="N49" i="3"/>
  <c r="P49" i="3" s="1"/>
  <c r="N48" i="3"/>
  <c r="P48" i="3" s="1"/>
  <c r="Q46" i="3"/>
  <c r="L46" i="3"/>
  <c r="T55" i="3"/>
  <c r="S55" i="3"/>
  <c r="R55" i="3"/>
  <c r="T57" i="3"/>
  <c r="T71" i="3"/>
  <c r="R70" i="3"/>
  <c r="T70" i="3" s="1"/>
  <c r="T69" i="3"/>
  <c r="T68" i="3"/>
  <c r="T67" i="3"/>
  <c r="R65" i="3"/>
  <c r="T64" i="3"/>
  <c r="T63" i="3"/>
  <c r="T62" i="3"/>
  <c r="T61" i="3"/>
  <c r="T60" i="3"/>
  <c r="T59" i="3"/>
  <c r="T58" i="3"/>
  <c r="N65" i="3"/>
  <c r="N70" i="3"/>
  <c r="P70" i="3" s="1"/>
  <c r="N74" i="3"/>
  <c r="P74" i="3" s="1"/>
  <c r="Q55" i="3"/>
  <c r="L55" i="3"/>
  <c r="L33" i="3"/>
  <c r="L9" i="3"/>
  <c r="L7" i="3" s="1"/>
  <c r="R30" i="3"/>
  <c r="R28" i="3" s="1"/>
  <c r="N30" i="3"/>
  <c r="P30" i="3" s="1"/>
  <c r="Q28" i="3"/>
  <c r="Q43" i="3"/>
  <c r="L28" i="3"/>
  <c r="L43" i="3"/>
  <c r="S7" i="3"/>
  <c r="R15" i="3"/>
  <c r="T15" i="3" s="1"/>
  <c r="R23" i="3"/>
  <c r="T23" i="3" s="1"/>
  <c r="R24" i="3"/>
  <c r="T24" i="3" s="1"/>
  <c r="R10" i="3"/>
  <c r="T10" i="3" s="1"/>
  <c r="R16" i="3"/>
  <c r="T16" i="3" s="1"/>
  <c r="R17" i="3"/>
  <c r="T17" i="3" s="1"/>
  <c r="R9" i="3"/>
  <c r="T9" i="3" s="1"/>
  <c r="R20" i="3"/>
  <c r="T20" i="3" s="1"/>
  <c r="R13" i="3"/>
  <c r="T13" i="3" s="1"/>
  <c r="R26" i="3"/>
  <c r="T26" i="3" s="1"/>
  <c r="R21" i="3"/>
  <c r="T21" i="3" s="1"/>
  <c r="R25" i="3"/>
  <c r="T25" i="3" s="1"/>
  <c r="R12" i="3"/>
  <c r="T12" i="3" s="1"/>
  <c r="N15" i="3"/>
  <c r="P15" i="3" s="1"/>
  <c r="N23" i="3"/>
  <c r="P23" i="3" s="1"/>
  <c r="N24" i="3"/>
  <c r="P24" i="3" s="1"/>
  <c r="N10" i="3"/>
  <c r="P10" i="3" s="1"/>
  <c r="N16" i="3"/>
  <c r="P16" i="3" s="1"/>
  <c r="N17" i="3"/>
  <c r="P17" i="3" s="1"/>
  <c r="N9" i="3"/>
  <c r="P9" i="3" s="1"/>
  <c r="N20" i="3"/>
  <c r="N13" i="3"/>
  <c r="O7" i="3"/>
  <c r="N26" i="3"/>
  <c r="P26" i="3" s="1"/>
  <c r="N21" i="3"/>
  <c r="P21" i="3" s="1"/>
  <c r="N25" i="3"/>
  <c r="P25" i="3" s="1"/>
  <c r="N12" i="3"/>
  <c r="P12" i="3" s="1"/>
  <c r="T74" i="3"/>
  <c r="T53" i="3"/>
  <c r="T52" i="3"/>
  <c r="T51" i="3"/>
  <c r="T50" i="3"/>
  <c r="T49" i="3"/>
  <c r="T48" i="3"/>
  <c r="S46" i="3"/>
  <c r="R46" i="3"/>
  <c r="T44" i="3"/>
  <c r="T43" i="3"/>
  <c r="T42" i="3"/>
  <c r="T40" i="3"/>
  <c r="T39" i="3"/>
  <c r="T38" i="3"/>
  <c r="T37" i="3"/>
  <c r="T36" i="3"/>
  <c r="T35" i="3"/>
  <c r="T34" i="3"/>
  <c r="T33" i="3"/>
  <c r="T32" i="3"/>
  <c r="T31" i="3"/>
  <c r="S28" i="3"/>
  <c r="T22" i="3"/>
  <c r="T19" i="3"/>
  <c r="T18" i="3"/>
  <c r="T14" i="3"/>
  <c r="T11" i="3"/>
  <c r="P71" i="3"/>
  <c r="P69" i="3"/>
  <c r="P68" i="3"/>
  <c r="P67" i="3"/>
  <c r="P65" i="3"/>
  <c r="P64" i="3"/>
  <c r="P63" i="3"/>
  <c r="P62" i="3"/>
  <c r="P61" i="3"/>
  <c r="P60" i="3"/>
  <c r="P59" i="3"/>
  <c r="P58" i="3"/>
  <c r="O55" i="3"/>
  <c r="P53" i="3"/>
  <c r="P52" i="3"/>
  <c r="P50" i="3"/>
  <c r="O46" i="3"/>
  <c r="P44" i="3"/>
  <c r="P43" i="3"/>
  <c r="P42" i="3"/>
  <c r="P40" i="3"/>
  <c r="P39" i="3"/>
  <c r="P38" i="3"/>
  <c r="P37" i="3"/>
  <c r="P36" i="3"/>
  <c r="P35" i="3"/>
  <c r="P34" i="3"/>
  <c r="P33" i="3"/>
  <c r="P32" i="3"/>
  <c r="P31" i="3"/>
  <c r="O28" i="3"/>
  <c r="P22" i="3"/>
  <c r="P20" i="3"/>
  <c r="P19" i="3"/>
  <c r="P18" i="3"/>
  <c r="P14" i="3"/>
  <c r="P11" i="3"/>
  <c r="Q18" i="3"/>
  <c r="Q7" i="3" s="1"/>
  <c r="Q27" i="2"/>
  <c r="O27" i="2"/>
  <c r="O28" i="2" s="1"/>
  <c r="Q19" i="2"/>
  <c r="Q16" i="2"/>
  <c r="Q15" i="2"/>
  <c r="Q11" i="2"/>
  <c r="Q8" i="2"/>
  <c r="Q9" i="2"/>
  <c r="Q10" i="2"/>
  <c r="Q7" i="2"/>
  <c r="O6" i="2"/>
  <c r="X6" i="2" s="1"/>
  <c r="O14" i="2"/>
  <c r="X14" i="2" s="1"/>
  <c r="M29" i="17"/>
  <c r="M28" i="17"/>
  <c r="M27" i="17"/>
  <c r="M10" i="17"/>
  <c r="M32" i="17" s="1"/>
  <c r="M9" i="17"/>
  <c r="M8" i="17"/>
  <c r="M31" i="17" s="1"/>
  <c r="M7" i="17"/>
  <c r="M6" i="17"/>
  <c r="M30" i="17" s="1"/>
  <c r="M5" i="17"/>
  <c r="E36" i="4"/>
  <c r="B49" i="7"/>
  <c r="C49" i="7"/>
  <c r="D49" i="7"/>
  <c r="E49" i="7"/>
  <c r="B77" i="3"/>
  <c r="B28" i="2"/>
  <c r="J27" i="2"/>
  <c r="J28" i="2" s="1"/>
  <c r="H27" i="2"/>
  <c r="H28" i="2" s="1"/>
  <c r="F27" i="2"/>
  <c r="F28" i="2" s="1"/>
  <c r="D27" i="2"/>
  <c r="D28" i="2" s="1"/>
  <c r="B26" i="2"/>
  <c r="J46" i="3"/>
  <c r="I46" i="3"/>
  <c r="J55" i="3"/>
  <c r="I55" i="3"/>
  <c r="J28" i="3"/>
  <c r="I28" i="3"/>
  <c r="J7" i="3"/>
  <c r="I7" i="3"/>
  <c r="K52" i="3"/>
  <c r="K53" i="3"/>
  <c r="K50" i="3"/>
  <c r="K49" i="3"/>
  <c r="K51" i="3"/>
  <c r="K48" i="3"/>
  <c r="K74" i="3"/>
  <c r="F46" i="3"/>
  <c r="K59" i="3"/>
  <c r="K60" i="3"/>
  <c r="K61" i="3"/>
  <c r="K62" i="3"/>
  <c r="K63" i="3"/>
  <c r="K64" i="3"/>
  <c r="K65" i="3"/>
  <c r="K67" i="3"/>
  <c r="K68" i="3"/>
  <c r="K69" i="3"/>
  <c r="K70" i="3"/>
  <c r="K71" i="3"/>
  <c r="K58" i="3"/>
  <c r="F55" i="3"/>
  <c r="K31" i="3"/>
  <c r="K32" i="3"/>
  <c r="K33" i="3"/>
  <c r="K34" i="3"/>
  <c r="K35" i="3"/>
  <c r="K36" i="3"/>
  <c r="K37" i="3"/>
  <c r="K38" i="3"/>
  <c r="K39" i="3"/>
  <c r="K40" i="3"/>
  <c r="K41" i="3"/>
  <c r="K42" i="3"/>
  <c r="K43" i="3"/>
  <c r="K44" i="3"/>
  <c r="K30" i="3"/>
  <c r="F28" i="3"/>
  <c r="K10" i="3"/>
  <c r="K11" i="3"/>
  <c r="K12" i="3"/>
  <c r="K13" i="3"/>
  <c r="K14" i="3"/>
  <c r="K15" i="3"/>
  <c r="K16" i="3"/>
  <c r="K17" i="3"/>
  <c r="K18" i="3"/>
  <c r="K19" i="3"/>
  <c r="K20" i="3"/>
  <c r="K21" i="3"/>
  <c r="K22" i="3"/>
  <c r="K23" i="3"/>
  <c r="K24" i="3"/>
  <c r="K25" i="3"/>
  <c r="K26" i="3"/>
  <c r="K9" i="3"/>
  <c r="F7" i="3"/>
  <c r="M24" i="4"/>
  <c r="M22" i="4"/>
  <c r="M19" i="4"/>
  <c r="M20" i="4"/>
  <c r="M18" i="4"/>
  <c r="M16" i="4"/>
  <c r="M8" i="4"/>
  <c r="M9" i="4"/>
  <c r="M10" i="4"/>
  <c r="M11" i="4"/>
  <c r="M12" i="4"/>
  <c r="M13" i="4"/>
  <c r="M14" i="4"/>
  <c r="L6" i="4"/>
  <c r="O17" i="2" l="1"/>
  <c r="AA6" i="2"/>
  <c r="W14" i="2"/>
  <c r="AA14" i="2"/>
  <c r="S17" i="2"/>
  <c r="W6" i="2"/>
  <c r="T25" i="4"/>
  <c r="R6" i="4"/>
  <c r="P25" i="4"/>
  <c r="R25" i="4" s="1"/>
  <c r="T6" i="4"/>
  <c r="N46" i="3"/>
  <c r="T65" i="3"/>
  <c r="N55" i="3"/>
  <c r="T30" i="3"/>
  <c r="T28" i="3" s="1"/>
  <c r="N28" i="3"/>
  <c r="Q76" i="3"/>
  <c r="S76" i="3"/>
  <c r="L76" i="3"/>
  <c r="M9" i="3" s="1"/>
  <c r="T46" i="3"/>
  <c r="R7" i="3"/>
  <c r="R76" i="3" s="1"/>
  <c r="N7" i="3"/>
  <c r="P13" i="3"/>
  <c r="P7" i="3" s="1"/>
  <c r="T7" i="3"/>
  <c r="P55" i="3"/>
  <c r="P46" i="3"/>
  <c r="P28" i="3"/>
  <c r="O76" i="3"/>
  <c r="L25" i="4"/>
  <c r="K46" i="3"/>
  <c r="K28" i="3"/>
  <c r="K55" i="3"/>
  <c r="I76" i="3"/>
  <c r="J76" i="3"/>
  <c r="K7" i="3"/>
  <c r="F76" i="3"/>
  <c r="Q29" i="2"/>
  <c r="Q28" i="2" s="1"/>
  <c r="J20" i="2"/>
  <c r="K26" i="4" s="1"/>
  <c r="J14" i="2"/>
  <c r="J6" i="2"/>
  <c r="P15" i="2" l="1"/>
  <c r="X17" i="2"/>
  <c r="P7" i="2"/>
  <c r="P14" i="2"/>
  <c r="P10" i="2"/>
  <c r="P9" i="2"/>
  <c r="P11" i="2"/>
  <c r="P8" i="2"/>
  <c r="T6" i="2"/>
  <c r="AA17" i="2"/>
  <c r="S25" i="2"/>
  <c r="P17" i="2"/>
  <c r="L77" i="3"/>
  <c r="O21" i="2"/>
  <c r="P6" i="2"/>
  <c r="P16" i="2"/>
  <c r="T14" i="2"/>
  <c r="T16" i="2"/>
  <c r="T8" i="2"/>
  <c r="T9" i="2"/>
  <c r="T17" i="2"/>
  <c r="T10" i="2"/>
  <c r="T15" i="2"/>
  <c r="S21" i="2"/>
  <c r="T7" i="2"/>
  <c r="T11" i="2"/>
  <c r="W25" i="2"/>
  <c r="W17" i="2"/>
  <c r="N76" i="3"/>
  <c r="P76" i="3"/>
  <c r="M10" i="3"/>
  <c r="M11" i="3"/>
  <c r="T76" i="3"/>
  <c r="M7" i="3"/>
  <c r="R10" i="2"/>
  <c r="L26" i="4"/>
  <c r="G7" i="3"/>
  <c r="G11" i="3"/>
  <c r="R11" i="2"/>
  <c r="R9" i="2"/>
  <c r="R15" i="2"/>
  <c r="R19" i="2"/>
  <c r="R8" i="2"/>
  <c r="R16" i="2"/>
  <c r="R7" i="2"/>
  <c r="G30" i="3"/>
  <c r="G28" i="3"/>
  <c r="K76" i="3"/>
  <c r="G48" i="3"/>
  <c r="G58" i="3"/>
  <c r="G46" i="3"/>
  <c r="G55" i="3"/>
  <c r="G74" i="3"/>
  <c r="G9" i="3"/>
  <c r="G10" i="3"/>
  <c r="J17" i="2"/>
  <c r="M25" i="2" s="1"/>
  <c r="M26" i="2" s="1"/>
  <c r="E19" i="6"/>
  <c r="E31" i="6"/>
  <c r="F19" i="6"/>
  <c r="F17" i="6" s="1"/>
  <c r="F31" i="6"/>
  <c r="F33" i="6"/>
  <c r="E33" i="6"/>
  <c r="G17" i="6"/>
  <c r="E17" i="6" l="1"/>
  <c r="J22" i="2"/>
  <c r="J21" i="2"/>
  <c r="F28" i="4"/>
  <c r="G6" i="4"/>
  <c r="G25" i="4" l="1"/>
  <c r="G28" i="4" s="1"/>
  <c r="E46" i="3"/>
  <c r="E55" i="3"/>
  <c r="N14" i="5" l="1"/>
  <c r="L14" i="5"/>
  <c r="H25" i="4"/>
  <c r="H6" i="4"/>
  <c r="H36" i="4" s="1"/>
  <c r="H37" i="4" s="1"/>
  <c r="M7" i="4" l="1"/>
  <c r="H28" i="4"/>
  <c r="I6" i="4"/>
  <c r="I25" i="4"/>
  <c r="J7" i="4" s="1"/>
  <c r="G8" i="6"/>
  <c r="H8" i="6"/>
  <c r="D20" i="2"/>
  <c r="F26" i="4" s="1"/>
  <c r="F20" i="2"/>
  <c r="G26" i="4" s="1"/>
  <c r="F14" i="2"/>
  <c r="F6" i="2"/>
  <c r="H6" i="2"/>
  <c r="H20" i="2"/>
  <c r="H26" i="4" s="1"/>
  <c r="H14" i="2"/>
  <c r="I36" i="4" l="1"/>
  <c r="I37" i="4" s="1"/>
  <c r="L36" i="4"/>
  <c r="L37" i="4" s="1"/>
  <c r="J14" i="4"/>
  <c r="J24" i="4"/>
  <c r="J8" i="4"/>
  <c r="J18" i="4"/>
  <c r="J16" i="4"/>
  <c r="J9" i="4"/>
  <c r="J19" i="4"/>
  <c r="J20" i="4"/>
  <c r="J11" i="4"/>
  <c r="J22" i="4"/>
  <c r="J13" i="4"/>
  <c r="J10" i="4"/>
  <c r="J12" i="4"/>
  <c r="M25" i="4"/>
  <c r="F17" i="2"/>
  <c r="F21" i="2" s="1"/>
  <c r="I26" i="4"/>
  <c r="I28" i="4"/>
  <c r="H17" i="2"/>
  <c r="J25" i="2" s="1"/>
  <c r="J26" i="2" s="1"/>
  <c r="F22" i="2" l="1"/>
  <c r="H21" i="2"/>
  <c r="H25" i="2"/>
  <c r="H26" i="2" s="1"/>
  <c r="J6" i="4"/>
  <c r="J25" i="4" s="1"/>
  <c r="H22" i="2"/>
  <c r="E9" i="3"/>
  <c r="E7" i="3" s="1"/>
  <c r="E43" i="3"/>
  <c r="E28" i="3" s="1"/>
  <c r="E76" i="3" s="1"/>
  <c r="K33" i="6" l="1"/>
  <c r="K31" i="6"/>
  <c r="H20" i="6"/>
  <c r="H19" i="6" s="1"/>
  <c r="H17" i="6" s="1"/>
  <c r="K20" i="6"/>
  <c r="K19" i="6" s="1"/>
  <c r="I20" i="6"/>
  <c r="I19" i="6" s="1"/>
  <c r="K17" i="6" l="1"/>
  <c r="I17" i="6"/>
  <c r="K8" i="6" l="1"/>
  <c r="K6" i="2"/>
  <c r="Y6" i="2" s="1"/>
  <c r="Q6" i="2" l="1"/>
  <c r="Z6" i="2"/>
  <c r="R6" i="2"/>
  <c r="K14" i="2"/>
  <c r="Y14" i="2" s="1"/>
  <c r="Q14" i="2" l="1"/>
  <c r="Z14" i="2"/>
  <c r="K17" i="2"/>
  <c r="Y17" i="2" s="1"/>
  <c r="R14" i="2"/>
  <c r="Z17" i="2" l="1"/>
  <c r="F77" i="3"/>
  <c r="O25" i="2"/>
  <c r="O26" i="2" s="1"/>
  <c r="Q25" i="2"/>
  <c r="Q17" i="2"/>
  <c r="R17" i="2" s="1"/>
  <c r="K21" i="2"/>
  <c r="Q26" i="2" l="1"/>
  <c r="I14" i="2"/>
  <c r="I6" i="2"/>
  <c r="I17" i="2" l="1"/>
  <c r="E77" i="3" s="1"/>
  <c r="K25" i="2" l="1"/>
  <c r="K26" i="2" s="1"/>
  <c r="I22" i="2"/>
  <c r="I21" i="2"/>
  <c r="J14" i="5"/>
  <c r="H14" i="5"/>
  <c r="E25" i="2" l="1"/>
  <c r="G20" i="2"/>
  <c r="D46" i="3" l="1"/>
  <c r="C46" i="3"/>
  <c r="D55" i="3"/>
  <c r="C55" i="3"/>
  <c r="D7" i="3"/>
  <c r="D28" i="3"/>
  <c r="C28" i="3"/>
  <c r="C7" i="3"/>
  <c r="D76" i="3" l="1"/>
  <c r="C76" i="3"/>
  <c r="C77" i="3" s="1"/>
  <c r="F6" i="4"/>
  <c r="F36" i="4" l="1"/>
  <c r="F37" i="4" s="1"/>
  <c r="G36" i="4"/>
  <c r="G37" i="4" s="1"/>
  <c r="G76" i="3"/>
  <c r="G6" i="2"/>
  <c r="G14" i="2"/>
  <c r="D14" i="2"/>
  <c r="D12" i="2"/>
  <c r="D6" i="2"/>
  <c r="G17" i="2" l="1"/>
  <c r="D17" i="2"/>
  <c r="D77" i="3" l="1"/>
  <c r="F25" i="2"/>
  <c r="F26" i="2" s="1"/>
  <c r="D22" i="2"/>
  <c r="I25" i="2"/>
  <c r="G22" i="2"/>
  <c r="G25" i="2"/>
  <c r="G21" i="2"/>
  <c r="D21" i="2"/>
  <c r="F14" i="5"/>
  <c r="D19" i="6" l="1"/>
  <c r="D17" i="6" s="1"/>
  <c r="B14" i="2" l="1"/>
  <c r="B6" i="2"/>
  <c r="B12" i="2"/>
  <c r="E22" i="2"/>
  <c r="E21" i="2"/>
  <c r="E14" i="2"/>
  <c r="E6" i="2"/>
  <c r="B17" i="2" l="1"/>
  <c r="D25" i="2" s="1"/>
  <c r="D26" i="2" s="1"/>
  <c r="B21" i="2" l="1"/>
  <c r="C25" i="2"/>
  <c r="N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DELVAINQUIERE Jean-cédric</author>
  </authors>
  <commentList>
    <comment ref="D15" authorId="0" shapeId="0" xr:uid="{00000000-0006-0000-0200-000001000000}">
      <text>
        <r>
          <rPr>
            <sz val="9"/>
            <color indexed="81"/>
            <rFont val="Tahoma"/>
            <family val="2"/>
          </rPr>
          <t>Voir note (a) ci-dessous)</t>
        </r>
      </text>
    </comment>
    <comment ref="D16" authorId="0" shapeId="0" xr:uid="{00000000-0006-0000-0200-000002000000}">
      <text>
        <r>
          <rPr>
            <sz val="9"/>
            <color indexed="81"/>
            <rFont val="Tahoma"/>
            <family val="2"/>
          </rPr>
          <t>Voir note (b) et (c) ci-dessous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DELVAINQUIERE Jean-cédric</author>
  </authors>
  <commentList>
    <comment ref="F7" authorId="0" shapeId="0" xr:uid="{00000000-0006-0000-0400-000001000000}">
      <text>
        <r>
          <rPr>
            <sz val="9"/>
            <color indexed="81"/>
            <rFont val="Tahoma"/>
            <family val="2"/>
          </rPr>
          <t xml:space="preserve">Voir (a)
</t>
        </r>
      </text>
    </comment>
    <comment ref="H12" authorId="0" shapeId="0" xr:uid="{00000000-0006-0000-0400-000002000000}">
      <text>
        <r>
          <rPr>
            <b/>
            <sz val="9"/>
            <color indexed="81"/>
            <rFont val="Tahoma"/>
            <family val="2"/>
          </rPr>
          <t>yc dotation investissement droit commun : 100 M€, uniquement pris en compte en 2022</t>
        </r>
      </text>
    </comment>
    <comment ref="H15" authorId="0" shapeId="0" xr:uid="{00000000-0006-0000-0400-000003000000}">
      <text>
        <r>
          <rPr>
            <b/>
            <sz val="9"/>
            <color indexed="81"/>
            <rFont val="Tahoma"/>
            <family val="2"/>
          </rPr>
          <t>Regroupé avec Cohésion des territoires, y compris rétrospectivement en exécuté pour 2021</t>
        </r>
      </text>
    </comment>
    <comment ref="H21" authorId="0" shapeId="0" xr:uid="{00000000-0006-0000-0400-000004000000}">
      <text>
        <r>
          <rPr>
            <b/>
            <sz val="9"/>
            <color indexed="81"/>
            <rFont val="Tahoma"/>
            <family val="2"/>
          </rPr>
          <t>pour mémoire, ventilé dans les autres lignes, uniquement pour 2022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DELVAINQUIERE Jean-cédric</author>
  </authors>
  <commentList>
    <comment ref="I53" authorId="0" shapeId="0" xr:uid="{710781C5-E59B-4E59-97C1-304C948904A6}">
      <text>
        <r>
          <rPr>
            <b/>
            <sz val="9"/>
            <color indexed="81"/>
            <rFont val="Tahoma"/>
            <family val="2"/>
          </rPr>
          <t>hors mission relance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DELVAINQUIERE Jean-cédric</author>
  </authors>
  <commentList>
    <comment ref="L12" authorId="0" shapeId="0" xr:uid="{00000000-0006-0000-0A00-000001000000}">
      <text>
        <r>
          <rPr>
            <b/>
            <sz val="9"/>
            <color indexed="81"/>
            <rFont val="Tahoma"/>
            <family val="2"/>
          </rPr>
          <t>Inclut le montant de la ligne suivante, CNC</t>
        </r>
      </text>
    </comment>
    <comment ref="N12" authorId="0" shapeId="0" xr:uid="{00000000-0006-0000-0A00-000002000000}">
      <text>
        <r>
          <rPr>
            <b/>
            <sz val="9"/>
            <color indexed="81"/>
            <rFont val="Tahoma"/>
            <family val="2"/>
          </rPr>
          <t>Inclut le montant de la ligne suivante : CNC</t>
        </r>
      </text>
    </comment>
    <comment ref="R12" authorId="0" shapeId="0" xr:uid="{B95D65BB-51BA-465B-BF1F-690495AFCFBF}">
      <text>
        <r>
          <rPr>
            <b/>
            <sz val="9"/>
            <color indexed="81"/>
            <rFont val="Tahoma"/>
            <family val="2"/>
          </rPr>
          <t>DELVAINQUIERE Jean-cédric:</t>
        </r>
        <r>
          <rPr>
            <sz val="9"/>
            <color indexed="81"/>
            <rFont val="Tahoma"/>
            <family val="2"/>
          </rPr>
          <t xml:space="preserve">
Inclut le montant de la ligne suivante : CNC</t>
        </r>
      </text>
    </comment>
    <comment ref="U12" authorId="0" shapeId="0" xr:uid="{AD5F5CDD-1FEC-41DC-B234-748B9E395448}">
      <text>
        <r>
          <rPr>
            <b/>
            <sz val="9"/>
            <color indexed="81"/>
            <rFont val="Tahoma"/>
            <family val="2"/>
          </rPr>
          <t>DELVAINQUIERE Jean-cédric:</t>
        </r>
        <r>
          <rPr>
            <sz val="9"/>
            <color indexed="81"/>
            <rFont val="Tahoma"/>
            <family val="2"/>
          </rPr>
          <t xml:space="preserve">
Inclut le montant de la ligne suivante : CNC</t>
        </r>
      </text>
    </comment>
    <comment ref="W12" authorId="0" shapeId="0" xr:uid="{793A8429-D938-462A-9A9A-06B2A8FE283A}">
      <text>
        <r>
          <rPr>
            <b/>
            <sz val="9"/>
            <color indexed="81"/>
            <rFont val="Tahoma"/>
            <family val="2"/>
          </rPr>
          <t>DELVAINQUIERE Jean-cédric:</t>
        </r>
        <r>
          <rPr>
            <sz val="9"/>
            <color indexed="81"/>
            <rFont val="Tahoma"/>
            <family val="2"/>
          </rPr>
          <t xml:space="preserve">
Inclut le montant de la ligne suivante : CNC</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DELVAINQUIERE Jean-cédric</author>
  </authors>
  <commentList>
    <comment ref="E22" authorId="0" shapeId="0" xr:uid="{00000000-0006-0000-0B00-000001000000}">
      <text>
        <r>
          <rPr>
            <b/>
            <sz val="9"/>
            <color indexed="81"/>
            <rFont val="Tahoma"/>
            <family val="2"/>
          </rPr>
          <t xml:space="preserve">Utilisateur:
</t>
        </r>
        <r>
          <rPr>
            <sz val="9"/>
            <color indexed="81"/>
            <rFont val="Tahoma"/>
            <family val="2"/>
          </rPr>
          <t xml:space="preserve">Après les multiples révisions de l'assiette, le projet de loi de finances 2020 révise le taux afin d'harmoniser le taux de deux des taxes affectées au CNC afin d'assurer une meilleure équité entre des contributeurs qui sont en concurrence directe sur le marché de la diffusion des contenus audiovisuels. Le taux de la taxe sur la diffusion en vidéo physique et en ligne de contenus audiovisuels (TSV) fixé à 2 % depuis la création de la taxe en 1993 grimpe à 5,15 %, et passe de 5 à 15 % pour les contenus pornographique ou violent40,41. Alors que le taux de la taxe sur les services de télévision due par les éditeurs de services de télévision (TST-E) passe de 5,65 % à 5,15 %. Cette réforme devrait mécaniquement doubler le produit de la taxe « en 2020 passant de 34,2 millions l'an dernier à plus de 70 millions d'euros, soit près de 10% des recettes du CNC »33.
Assemblée Nationale, « Projet de loi de finances nº 2272 pour 2020 »
</t>
        </r>
      </text>
    </comment>
    <comment ref="E32" authorId="0" shapeId="0" xr:uid="{00000000-0006-0000-0B00-000002000000}">
      <text>
        <r>
          <rPr>
            <b/>
            <sz val="9"/>
            <color indexed="81"/>
            <rFont val="Tahoma"/>
            <family val="2"/>
          </rPr>
          <t>voir note de bas de tableau b)</t>
        </r>
        <r>
          <rPr>
            <sz val="9"/>
            <color indexed="81"/>
            <rFont val="Tahoma"/>
            <family val="2"/>
          </rPr>
          <t xml:space="preserve">
</t>
        </r>
      </text>
    </comment>
  </commentList>
</comments>
</file>

<file path=xl/sharedStrings.xml><?xml version="1.0" encoding="utf-8"?>
<sst xmlns="http://schemas.openxmlformats.org/spreadsheetml/2006/main" count="1426" uniqueCount="965">
  <si>
    <t>Financement de la culture</t>
  </si>
  <si>
    <t>en %</t>
  </si>
  <si>
    <t>Mission culture</t>
  </si>
  <si>
    <t>Programme 175 Patrimoines</t>
  </si>
  <si>
    <t>Programme 131 Création</t>
  </si>
  <si>
    <t>Mission médias, livres et industries culturelles</t>
  </si>
  <si>
    <t>Total</t>
  </si>
  <si>
    <t>Millions d’euros</t>
  </si>
  <si>
    <t>Intérieur</t>
  </si>
  <si>
    <t>Justice</t>
  </si>
  <si>
    <t>Outre-mer</t>
  </si>
  <si>
    <t>Services du Premier Ministre</t>
  </si>
  <si>
    <t>en millions d’euros</t>
  </si>
  <si>
    <t>Avances à l’audiovisuel public (France Télévisions essentiellement)</t>
  </si>
  <si>
    <t>Livre et industries culturelles</t>
  </si>
  <si>
    <t>Presse</t>
  </si>
  <si>
    <t>Total domaine de la culture et de la communication</t>
  </si>
  <si>
    <t>Recettes fiscales affectées à des personnes morales autres que l'État</t>
  </si>
  <si>
    <t>Régions</t>
  </si>
  <si>
    <t>en % du total des dépenses culturelles</t>
  </si>
  <si>
    <t>Communes</t>
  </si>
  <si>
    <t>Intercommunalités</t>
  </si>
  <si>
    <t>Ensemble des collectivités</t>
  </si>
  <si>
    <t>Conservation et diffusion des patrimoines</t>
  </si>
  <si>
    <t>Bibliothèques et médiathèques</t>
  </si>
  <si>
    <t>n.d.</t>
  </si>
  <si>
    <t>Musées</t>
  </si>
  <si>
    <t>Archives</t>
  </si>
  <si>
    <t>Entretien du patrimoine culturel</t>
  </si>
  <si>
    <t>Expression artistique et activités culturelles</t>
  </si>
  <si>
    <t>Expression lyrique et chorégraphique</t>
  </si>
  <si>
    <t>Théâtres</t>
  </si>
  <si>
    <t>Cinémas et autres salles de spectacles</t>
  </si>
  <si>
    <t>Arts plastiques et autres activités artistiques</t>
  </si>
  <si>
    <t>Action culturelle</t>
  </si>
  <si>
    <t>n.d. Données non-disponibles (les nomenclatures comptables des départements et régions sont moins détaillées que celles du bloc communal).</t>
  </si>
  <si>
    <t>liés à l'existence de transferts entre les collectivités au titre de la culture (une subvention culturelle accordée à une collectivité par une autre</t>
  </si>
  <si>
    <t>Télévision</t>
  </si>
  <si>
    <t>Radio</t>
  </si>
  <si>
    <t>Cinéma</t>
  </si>
  <si>
    <t>Autres</t>
  </si>
  <si>
    <t>Enseignement supérieur, Recherche et Innovation</t>
  </si>
  <si>
    <t>Europe et Affaires étrangères</t>
  </si>
  <si>
    <t>Armées</t>
  </si>
  <si>
    <t>* hors redevances et taxes fiscales affectées au financement de la culture et de la communication et hors dépenses fiscales en matière de culture et de communication</t>
  </si>
  <si>
    <t>Note 1. Données France entière</t>
  </si>
  <si>
    <t>Ensemble</t>
  </si>
  <si>
    <t>dont fonctionnement</t>
  </si>
  <si>
    <t>dont investissement</t>
  </si>
  <si>
    <t>Internet</t>
  </si>
  <si>
    <t>Transmission des savoirs et démocratisation de la culture</t>
  </si>
  <si>
    <t>Loi de finances initiale (LFI)</t>
  </si>
  <si>
    <t xml:space="preserve">     France Télévisions</t>
  </si>
  <si>
    <t xml:space="preserve">     ARTE-France</t>
  </si>
  <si>
    <t xml:space="preserve">     France Médias Monde</t>
  </si>
  <si>
    <t xml:space="preserve">     Institut national de l'audiovisuel</t>
  </si>
  <si>
    <t xml:space="preserve">     TV5 Monde</t>
  </si>
  <si>
    <t xml:space="preserve">     Radio France</t>
  </si>
  <si>
    <t>Crédits exécutés</t>
  </si>
  <si>
    <t>Millions d'euros</t>
  </si>
  <si>
    <t>Millions d'euros et %</t>
  </si>
  <si>
    <t>Part du ministère de la Culture dans le budget général de l'Etat uniquement</t>
  </si>
  <si>
    <t>Programme 180 Presse et médias</t>
  </si>
  <si>
    <t>Lois de finances initales LFI</t>
  </si>
  <si>
    <t>Pour mémoire : ministère de la Culture</t>
  </si>
  <si>
    <t>Total budget général de l'Etat  (montant brut, hors fonds de concours)</t>
  </si>
  <si>
    <t>Ensemble des ministères (yc min. de la Culture)</t>
  </si>
  <si>
    <t>Total (hors min. de la Culture)</t>
  </si>
  <si>
    <t>207 **</t>
  </si>
  <si>
    <t>0 *</t>
  </si>
  <si>
    <t>406 *</t>
  </si>
  <si>
    <t>0 **</t>
  </si>
  <si>
    <t>dont :</t>
  </si>
  <si>
    <t>Musée du Louvre</t>
  </si>
  <si>
    <t>Universcience</t>
  </si>
  <si>
    <t>Cité de la musique - Philharmonie de Paris</t>
  </si>
  <si>
    <t xml:space="preserve">Conservatoire national supérieur de musique et de danse de Paris </t>
  </si>
  <si>
    <t xml:space="preserve">Conservatoire national supérieur de musique et de danse de Lyon </t>
  </si>
  <si>
    <t>Centre national de la danse</t>
  </si>
  <si>
    <t>Champ : France métropolitaine et Dom.</t>
  </si>
  <si>
    <t>En %</t>
  </si>
  <si>
    <t>Cité de l'architecture et du patrimoine</t>
  </si>
  <si>
    <t>Etablissement public du musée et du domaine national de Versailles</t>
  </si>
  <si>
    <t>Musée d'Orsay et musée de l'Orangerie</t>
  </si>
  <si>
    <t>Opéra national de Paris</t>
  </si>
  <si>
    <t>Comédie-Française</t>
  </si>
  <si>
    <t>Centre national des arts plastiques</t>
  </si>
  <si>
    <t>Etablissement public du parc et de la grande halle de la Villette</t>
  </si>
  <si>
    <t>Opéra comique</t>
  </si>
  <si>
    <t>Théâtre national de la Colline</t>
  </si>
  <si>
    <t>Théâtre national de l'Odéon</t>
  </si>
  <si>
    <t>Théâtre national de Strasbourg</t>
  </si>
  <si>
    <t>Programme 334 - Livre et industries culturelles</t>
  </si>
  <si>
    <t>Note 2. Les dépenses des différents niveaux de collectivités ne doivent pas être additionnées, à cause de la présence de doubles-comptes</t>
  </si>
  <si>
    <t>collectivité est comptabilisée au titre des dépenses culturelles des deux collectivités concernées, faute de pouvoir soustraire des dépenses de la collectivité bénéficiaire la subvention qu'elle a reçue).</t>
  </si>
  <si>
    <t>-</t>
  </si>
  <si>
    <t>LFI 2020</t>
  </si>
  <si>
    <t>Musée des arts décoratifs</t>
  </si>
  <si>
    <t>Établissement public du château de Fontainebleau</t>
  </si>
  <si>
    <t>INP - Institut national du patrimoine</t>
  </si>
  <si>
    <t>AFR - Académie de France à Rome</t>
  </si>
  <si>
    <t>Musée Guimet</t>
  </si>
  <si>
    <t>Musée Picasso</t>
  </si>
  <si>
    <t>Musée Henner-Moreau</t>
  </si>
  <si>
    <t>BPI - Bibliothèque publique d'information</t>
  </si>
  <si>
    <t>CNM - Centre national de la musique</t>
  </si>
  <si>
    <t>CNSAD - Conservatoire national supérieur d'art dramatique</t>
  </si>
  <si>
    <t>Ecole du Louvre</t>
  </si>
  <si>
    <t>Crédits de paiement</t>
  </si>
  <si>
    <t>* Les montants correspondent aux subventions pour charge de service public et dotations en fonds propres inscrites au budget de l'Etat ; une partie des agents oeuvrant au sein de ces établissements sont également rémunérés sur le (ou les) budget(s) du (ou des) ministère(s) et non sur ceux de ces établissements : ces crédits ne sont pas intégrés aux montants indiqués.</t>
  </si>
  <si>
    <t>Programme 224 - Soutien aux politiques du ministère de la culture</t>
  </si>
  <si>
    <t>Note : les montants ne correspondent pas aux budgets totaux des établissements, qui disposent d'autres recettes que celles en provenance du ministère de la Culture ou des autres ministères.</t>
  </si>
  <si>
    <t>Programmes** et établissements</t>
  </si>
  <si>
    <t>exécution</t>
  </si>
  <si>
    <t>prévision</t>
  </si>
  <si>
    <t>** Les établissements peuvent bénéficier de crédits relevant de plusieurs programmes. Les établissements sont ici uniquement rattachés au programme "principal" (en termes de montants de crédits)</t>
  </si>
  <si>
    <t>* y compris à partir de 2019 les concours financiers aux collecitivtés territoriales et à leurs groupements qui ne relèvent plus du Ministère de l’Intérieur.</t>
  </si>
  <si>
    <t>en millions d'euros</t>
  </si>
  <si>
    <t>Crédits
exécutés</t>
  </si>
  <si>
    <t>LFI</t>
  </si>
  <si>
    <t>Crédits
éxécutés</t>
  </si>
  <si>
    <t>euros courants</t>
  </si>
  <si>
    <t>LFI 2021</t>
  </si>
  <si>
    <t>Théâtre national de la Danse - Chaillot</t>
  </si>
  <si>
    <t>(c) Le soutien aux entreprises culturelles s’est également traduit, durant la crise sanitaire de 2020, par un renforcement des moyens d’intervention de l’Institut pour le financement du cinéma et des industries culturelles (IFCIC) à hauteur de 85 M€, grâce à des crédits obtenus en loi de finances rectificatives du 30 juillet 2020, mobilisés pour la consolidation des fonds d’intervention de l’établissement en matière de prêts bancaires aux acteurs des industries culturelles.</t>
  </si>
  <si>
    <t>Mission Relance</t>
  </si>
  <si>
    <t>(a) Création de la Mission éducation artistique et culturelle le 1 er octobre 2020  ; de plus, en 2020, 16 472 heures supplémentaires ont été déployées en académies auprès d’enseignants pour leur permettre de conduire des actions spécifiques en EAC telle que le Prix Goncourt des lycéens par exemple.</t>
  </si>
  <si>
    <t>(a) Le programme 180 a bénéficié d’un abondement de sa dotation par la loi de finances rectificative du 30 juillet 2020 et les crédits exécutés pour la gestion 2020 (411,40 M€ en CP) sont en augmentation de 47 % par rapport aux crédits votés de la LFI 2020 (280,4 M€ en CP).</t>
  </si>
  <si>
    <t xml:space="preserve">(b) Le CNM a bénéficié de moyens exceptionnels à hauteur de 152 M€, attribués à l’occasion des différentes lois de finances rectificatives votées en 2020 ; </t>
  </si>
  <si>
    <t>%</t>
  </si>
  <si>
    <t>Part dans le budget de l'Etat (hors plan de relance)</t>
  </si>
  <si>
    <t>Part dans le budget de l'Etat (yc plan de relance)</t>
  </si>
  <si>
    <t>Aviation civile (budget annexe)</t>
  </si>
  <si>
    <t>* Le taux de la taxe sur la diffusion en vidéo physique et en ligne de contenus audiovisuels (TSV) fixé à 2 % depuis la création de la taxe en 1993 a été porté à 5,15 % en 2020. Cette réforme accroît mécaniquement le produit de la taxe.</t>
  </si>
  <si>
    <t>** Dans le cadre de la démarche gouvernementale de suppression des taxes à faible rendement, ces taxes ont été supprimées au 1er janvier 2019. À cette même date, les ressources du CNL ont fait l’objet d’une budgétisation sur le programme 334 « Livre et industries culturelles » et sont versées par le biais d’une subvention pour charges de service public.</t>
  </si>
  <si>
    <t>*** Le CNV est remplacé, au 1er janvier 2020, par le Centre national de la musique (CNM).</t>
  </si>
  <si>
    <t>Compte de concours financiers</t>
  </si>
  <si>
    <t>PLF</t>
  </si>
  <si>
    <t>hors Plan d'urgence face à la crise sanitaire et Plan de relance</t>
  </si>
  <si>
    <t>Taux d'inflation générale</t>
  </si>
  <si>
    <t>Action et Comptes publics (inclus au sein du ministère de l'Economie et des finances en 2021)</t>
  </si>
  <si>
    <t>Académie de France à Rome</t>
  </si>
  <si>
    <t>www.villamedici.it</t>
  </si>
  <si>
    <t>Bibliothèque nationale de France (BNF)</t>
  </si>
  <si>
    <t>www.bnf.fr</t>
  </si>
  <si>
    <t>Bibliothèque publique d'information (BPI)</t>
  </si>
  <si>
    <t>75004 Paris</t>
  </si>
  <si>
    <t>www.bpi.fr</t>
  </si>
  <si>
    <t>Centre des monuments nationaux (CMN)</t>
  </si>
  <si>
    <t>Hôtel de Sully </t>
  </si>
  <si>
    <t>62, rue Saint-Antoine </t>
  </si>
  <si>
    <t>75186 Paris cedex 04 </t>
  </si>
  <si>
    <t>www.monuments-nationaux.fr</t>
  </si>
  <si>
    <t>Centre national d'art et de culture Georges-Pompidou</t>
  </si>
  <si>
    <t>Place Georges Pompidou</t>
  </si>
  <si>
    <t>www.centrepompidou.fr</t>
  </si>
  <si>
    <t>Centre national des arts plastiques (CNAP)</t>
  </si>
  <si>
    <t>Tour Atlantique 1er étage</t>
  </si>
  <si>
    <t>1, place de la Pyramide</t>
  </si>
  <si>
    <t>92911 Paris La Défense</t>
  </si>
  <si>
    <t>www.cnap.fr</t>
  </si>
  <si>
    <t>Centre national du cinéma et de l'image animée (CNC)</t>
  </si>
  <si>
    <t>12, rue de Lübeck</t>
  </si>
  <si>
    <t>www.cnc.fr</t>
  </si>
  <si>
    <t>Centre National du Livre (CNL)</t>
  </si>
  <si>
    <t>Hôtel d’Avejan,</t>
  </si>
  <si>
    <t>53, rue de Verneuil,</t>
  </si>
  <si>
    <t>www.centrenationaldulivre.fr</t>
  </si>
  <si>
    <t>Château de Fontainebleau</t>
  </si>
  <si>
    <t>77300 Fontainebleau</t>
  </si>
  <si>
    <t>www.musee-chateau-fontainebleau.fr</t>
  </si>
  <si>
    <t>Château, Musée et domaine national de Versailles</t>
  </si>
  <si>
    <t>Place d'Armes</t>
  </si>
  <si>
    <t>78000 Versailles</t>
  </si>
  <si>
    <t>www.chateauversailles.fr</t>
  </si>
  <si>
    <t>Conservatoire national supérieur d'art dramatique (CNSAD)</t>
  </si>
  <si>
    <t>75009 Paris</t>
  </si>
  <si>
    <t>www.cnsad.fr</t>
  </si>
  <si>
    <t>Conservatoire national supérieur de musique et de danse de Paris</t>
  </si>
  <si>
    <t>75019 Paris</t>
  </si>
  <si>
    <t>www.cnsmdp.fr</t>
  </si>
  <si>
    <t>Conservatoire national supérieur de musique et de danse de Lyon</t>
  </si>
  <si>
    <t>www.cnsmd-lyon.fr</t>
  </si>
  <si>
    <t>École du Louvre</t>
  </si>
  <si>
    <t>Palais du Louvre. Porte Jaujard.</t>
  </si>
  <si>
    <t>Place du Carrousel</t>
  </si>
  <si>
    <t>www.ecoledulouvre.fr</t>
  </si>
  <si>
    <t>École nationale supérieure d'art de Cergy</t>
  </si>
  <si>
    <t>2, rue des Italiens</t>
  </si>
  <si>
    <t>95000 Cergy</t>
  </si>
  <si>
    <t>www.ensapc.fr</t>
  </si>
  <si>
    <t>École nationale supérieure de la photographie</t>
  </si>
  <si>
    <t>13200 Arles</t>
  </si>
  <si>
    <t>www.ensp-arles.fr/</t>
  </si>
  <si>
    <t>École nationale supérieure des arts décoratifs (ENSAD)</t>
  </si>
  <si>
    <t>31, rue d'Ulm</t>
  </si>
  <si>
    <t>www.ensad.fr</t>
  </si>
  <si>
    <t>École nationale supérieure des Beaux-Arts (ENSBA)</t>
  </si>
  <si>
    <t>14, rue Bonaparte</t>
  </si>
  <si>
    <t>75006 Paris</t>
  </si>
  <si>
    <t>www.ensba.fr</t>
  </si>
  <si>
    <t>Établissement public chargé de la conservation et la restauration de la cathédrale Notre-Dame de Paris</t>
  </si>
  <si>
    <t>75007 Paris</t>
  </si>
  <si>
    <t>www.rebatirnotredamedeparis.fr/</t>
  </si>
  <si>
    <t>Établissement public du Palais de la porte Dorée</t>
  </si>
  <si>
    <t>293, avenue Daumesnil</t>
  </si>
  <si>
    <t>75012 Paris</t>
  </si>
  <si>
    <t>www.palais-portedoree.fr</t>
  </si>
  <si>
    <t>Établissement public Cité de la céramique - Sèvres et Limoges</t>
  </si>
  <si>
    <t>Sèvres - Cité de la céramique2 Place de la Manufacture92310 SèvresTél : 01 46 29 22 00www.sevresciteceramique.fr</t>
  </si>
  <si>
    <t>Limoges - Cité de la céramique8bis, place Winston Churchill87000 LimogesTél : 05 55 33 08 50www.musee-adriendubouche.fr</t>
  </si>
  <si>
    <t>Établissement public Mobilier national et manufactures nationales des Gobelins, de Beauvais et de la Savonnerie</t>
  </si>
  <si>
    <t>Manufacture nationale des Gobelins</t>
  </si>
  <si>
    <t>75013 Paris</t>
  </si>
  <si>
    <t>Galerie nationale de la tapisserie à Beauvais</t>
  </si>
  <si>
    <t>Manufacture nationale de la Savonnerie</t>
  </si>
  <si>
    <t>Impasse des liciers</t>
  </si>
  <si>
    <t>Atelier conservatoire de dentelle</t>
  </si>
  <si>
    <t>Ilot Charles Aveline</t>
  </si>
  <si>
    <t>www.mobiliernational.culture.gouv.fr</t>
  </si>
  <si>
    <t>Établissement public du musée d'Orsay et du musée de l'Orangerie</t>
  </si>
  <si>
    <t>Musée d'Orsay62, rue de Lille75343 Paris Cedex 07Tél : 01 40 49 48 14www.musee-orsay.fr</t>
  </si>
  <si>
    <t>Musée de l’OrangerieJardin des TuileriesPlace de la Concorde75001 ParisTél : 01 44 77 80 07www.musee-orangerie.fr</t>
  </si>
  <si>
    <t>Musée national des arts asiatiques - Guimet</t>
  </si>
  <si>
    <t>6, place d’Iéna</t>
  </si>
  <si>
    <t>75116 Paris</t>
  </si>
  <si>
    <t>www.guimet.fr</t>
  </si>
  <si>
    <r>
      <t>Musée des civilisations de l'Europe et de la Méditerranée (MuCEM</t>
    </r>
    <r>
      <rPr>
        <sz val="10"/>
        <rFont val="Arial"/>
        <family val="2"/>
      </rPr>
      <t>)</t>
    </r>
  </si>
  <si>
    <t>7 Promenade Robert Laffont</t>
  </si>
  <si>
    <t>www.mucem.org</t>
  </si>
  <si>
    <t>75058 Paris</t>
  </si>
  <si>
    <t>www.louvre.fr</t>
  </si>
  <si>
    <t>Musée national Picasso - Paris</t>
  </si>
  <si>
    <t>5, rue de Thorigny</t>
  </si>
  <si>
    <t>75003 PARIS</t>
  </si>
  <si>
    <t>www.musee-picasso.fr</t>
  </si>
  <si>
    <t>Musée du Quai Branly - Jacques Chirac</t>
  </si>
  <si>
    <t>37, quai Branly</t>
  </si>
  <si>
    <t>www.quaibranly.fr</t>
  </si>
  <si>
    <t>Institut national de recherches archéologiques préventives (INRAP)</t>
  </si>
  <si>
    <t>75014 Paris</t>
  </si>
  <si>
    <t>www.inrap.fr</t>
  </si>
  <si>
    <t>Institut national du patrimoine (INP)</t>
  </si>
  <si>
    <t>2, rue Vivienne</t>
  </si>
  <si>
    <t>75002 Paris</t>
  </si>
  <si>
    <t>www.inp.fr</t>
  </si>
  <si>
    <t>Établissement public du musée national Jean-Jacques Henner et du musée national Gustave Moreau</t>
  </si>
  <si>
    <t>Musée national Jean-Jacques Henner43, avenue de Villiers75017 ParisTél : 01 47 63 42 73www.musee-henner.fr</t>
  </si>
  <si>
    <t>Musée Gustave Moreau14, rue de La Rochefoucauld75009 ParisTél : 01 48 74 38 50www.musee-moreau.fr</t>
  </si>
  <si>
    <t>Musée Rodin</t>
  </si>
  <si>
    <t>79, rue de Varenne</t>
  </si>
  <si>
    <t>www.musee-rodin.fr</t>
  </si>
  <si>
    <t>Opérateur du patrimoine et des projets immobiliers de la Culture</t>
  </si>
  <si>
    <t>www.oppic.fr</t>
  </si>
  <si>
    <t>Écoles d'architecture</t>
  </si>
  <si>
    <t>École nationale supérieure d'architecture de Marne-La Vallée</t>
  </si>
  <si>
    <t>Champs-sur-Marne</t>
  </si>
  <si>
    <t>www.marnelavallee.archi.fr</t>
  </si>
  <si>
    <t>École nationale supérieure d'architecture de Paris-Belleville</t>
  </si>
  <si>
    <t>www.paris-belleville.archi.fr</t>
  </si>
  <si>
    <t>École nationale supérieure d'architecture de Paris-Malaquais</t>
  </si>
  <si>
    <t>www.paris-malaquais.archi.fr</t>
  </si>
  <si>
    <t>École nationale supérieure d'architecture de Paris-Val de Seine</t>
  </si>
  <si>
    <t>3, quai Panhard et Levassor</t>
  </si>
  <si>
    <t>www.paris-valdeseine.archi.fr</t>
  </si>
  <si>
    <t>École nationale supérieure d'architecture de Paris-La Vilette</t>
  </si>
  <si>
    <t>www.paris-lavillette.archi.fr</t>
  </si>
  <si>
    <t>École nationale supérieure d'architecture de Versailles</t>
  </si>
  <si>
    <t>5, avenue de Sceaux</t>
  </si>
  <si>
    <t>78006 Versailles Cedex</t>
  </si>
  <si>
    <t>www.versailles.archi.fr</t>
  </si>
  <si>
    <t>École nationale supérieure d'architecture et de paysage de Bordeaux</t>
  </si>
  <si>
    <t>www.bordeaux.archi.fr</t>
  </si>
  <si>
    <t>École nationale supérieure d'architecture de Bretagne</t>
  </si>
  <si>
    <t>www.rennes.archi.fr</t>
  </si>
  <si>
    <t>École nationale supérieure d'architecture de Clermont-Ferrand</t>
  </si>
  <si>
    <t>www.clermont-fd.archi.fr</t>
  </si>
  <si>
    <t>École nationale supérieure d'architecture de Grenoble</t>
  </si>
  <si>
    <t>60, avenue de Constantine</t>
  </si>
  <si>
    <t>www.grenoble.archi.fr</t>
  </si>
  <si>
    <t>École nationale supérieure d'architecture de Montpellier- Languedoc- Roussillon</t>
  </si>
  <si>
    <t>www.montpellier.archi.fr</t>
  </si>
  <si>
    <t>École nationale supérieure d'architecture et de paysage de Lille</t>
  </si>
  <si>
    <t>www.lille.archi.fr</t>
  </si>
  <si>
    <t>École nationale supérieure d'architecture de Lyon</t>
  </si>
  <si>
    <t>69512 Vaulx-en-Velin cedex</t>
  </si>
  <si>
    <t>www.lyon.archi.fr</t>
  </si>
  <si>
    <t>École nationale supérieure d'architecture de Marseille -Luminy</t>
  </si>
  <si>
    <t>www.marseille.archi.fr</t>
  </si>
  <si>
    <t>École nationale supérieure d'architecture de Nancy</t>
  </si>
  <si>
    <t>2, rue Bastien-Lepage - Parvis Vacchini</t>
  </si>
  <si>
    <t>www.nancy.archi.fr</t>
  </si>
  <si>
    <t>École nationale supérieure d'architecture de Nantes</t>
  </si>
  <si>
    <t>www.nantes.archi.fr</t>
  </si>
  <si>
    <t>École nationale supérieure d'architecture de Normandie</t>
  </si>
  <si>
    <t>76160 Darnétal</t>
  </si>
  <si>
    <t>www.rouen.archi.fr</t>
  </si>
  <si>
    <t>École nationale supérieure d'architecture de Saint-Étienne</t>
  </si>
  <si>
    <t>1, rue Buisson</t>
  </si>
  <si>
    <t>www.st-etienne.archi.fr</t>
  </si>
  <si>
    <t xml:space="preserve">École nationale supérieure d'architecture de Strasbourg </t>
  </si>
  <si>
    <t>6-8 boulevard du Président Wilson</t>
  </si>
  <si>
    <t>67068 Strasbourg Cedex</t>
  </si>
  <si>
    <t>www.strasbourg.archi.fr</t>
  </si>
  <si>
    <t>École nationale supérieure d'architecture de Toulouse</t>
  </si>
  <si>
    <t>www.toulouse.archi.fr</t>
  </si>
  <si>
    <t>Écoles nationales supérieures d'art en région</t>
  </si>
  <si>
    <t>École nationale supérieure d'art de Bourges</t>
  </si>
  <si>
    <t>7, rue Edouard-Branly</t>
  </si>
  <si>
    <t>www.ensa-bourges.fr</t>
  </si>
  <si>
    <t>École nationale supérieure d'art de Dijon</t>
  </si>
  <si>
    <t>3, rue Michelet</t>
  </si>
  <si>
    <t>www.ensa-dijon.fr</t>
  </si>
  <si>
    <t>École nationale supérieure d'art de Limoges - Aubusson</t>
  </si>
  <si>
    <t>19, avenue Martin Luther King</t>
  </si>
  <si>
    <t>www.ensa-limoges.fr</t>
  </si>
  <si>
    <t>École nationale supérieure d'art et de design de Nancy</t>
  </si>
  <si>
    <t>www.ensa-nancy.fr</t>
  </si>
  <si>
    <t xml:space="preserve">Villa Arson </t>
  </si>
  <si>
    <t>20, avenue Stéphen Liégeard</t>
  </si>
  <si>
    <t>www.villa-arson.fr</t>
  </si>
  <si>
    <t>Établissement public à caractère scientifique culturel et professionnel</t>
  </si>
  <si>
    <r>
      <t>Institut national d'histoire de l'art (INHA</t>
    </r>
    <r>
      <rPr>
        <sz val="10"/>
        <rFont val="Arial"/>
        <family val="2"/>
      </rPr>
      <t>)</t>
    </r>
  </si>
  <si>
    <t>www.inha.fr</t>
  </si>
  <si>
    <t>Établissement public à caractère industriel et commercial</t>
  </si>
  <si>
    <t>Centre national de la musique (CNM)</t>
  </si>
  <si>
    <t>75008 PARIS</t>
  </si>
  <si>
    <t>www.cnv.fr</t>
  </si>
  <si>
    <t>1, rue Victor-Hugo</t>
  </si>
  <si>
    <t>93507 Pantin Cedex</t>
  </si>
  <si>
    <t>www.cnd.fr</t>
  </si>
  <si>
    <t>À Lyon:</t>
  </si>
  <si>
    <t>69002 Lyon</t>
  </si>
  <si>
    <t>45, avenue du Président Wilson</t>
  </si>
  <si>
    <t>www.citechaillot.fr</t>
  </si>
  <si>
    <t>Cité de la musique- Philharmonie de Paris</t>
  </si>
  <si>
    <t>221, avenue Jean-Jaurès</t>
  </si>
  <si>
    <t>www.citedelamusique.fr</t>
  </si>
  <si>
    <t>Comédie française</t>
  </si>
  <si>
    <t>Place Colette</t>
  </si>
  <si>
    <t>75001 Paris</t>
  </si>
  <si>
    <t>www.comedie-francaise.fr</t>
  </si>
  <si>
    <t>Domaine national de Chambord</t>
  </si>
  <si>
    <t>www.chambord.org</t>
  </si>
  <si>
    <t>École nationale supérieure de création industrielle (ENSCI)</t>
  </si>
  <si>
    <t>75011 Paris</t>
  </si>
  <si>
    <t>www.ensci.com</t>
  </si>
  <si>
    <t>École nationale supérieure des métiers de l'image et du son (FEMIS)</t>
  </si>
  <si>
    <t>6, rue Francoeur</t>
  </si>
  <si>
    <t>75018 Paris</t>
  </si>
  <si>
    <t>www.femis.fr</t>
  </si>
  <si>
    <t>Établissement public du Mont-Saint-Michel</t>
  </si>
  <si>
    <t>16, La Caserne Ardevon</t>
  </si>
  <si>
    <t>https://epic-montsaintmichel.fr/</t>
  </si>
  <si>
    <t>Institut national de l'audiovisuel (INA)</t>
  </si>
  <si>
    <t>94366 Bry-sur-Marne Cedex</t>
  </si>
  <si>
    <t>www.institut-national-audiovisuel.fr</t>
  </si>
  <si>
    <t>Palais GarnierPlace de l'Opéra75009 Paris</t>
  </si>
  <si>
    <t>Opéra BastillePlace de la Bastille75012 Paris</t>
  </si>
  <si>
    <t>www.operadeparis.fr</t>
  </si>
  <si>
    <t>Palais de la découverte et Cité des sciences et de l'industrie</t>
  </si>
  <si>
    <t>Avenue Franklin Delano Roosevelt</t>
  </si>
  <si>
    <t>75008 Paris</t>
  </si>
  <si>
    <t>www.palais-decouverte.fr</t>
  </si>
  <si>
    <t>Parc et grande halle de La Villette</t>
  </si>
  <si>
    <t>211, avenue Jean Jaurès</t>
  </si>
  <si>
    <t>www.villette.com</t>
  </si>
  <si>
    <t>Réunion des musées nationaux et du Grand palais des Champs-Elysées</t>
  </si>
  <si>
    <t>Grand Palais3, avenue du Général Eisenhower75008 ParisTél : 01 44 13 17 17www.grandpalais.fr</t>
  </si>
  <si>
    <t>Rmn-Grand Palais254-256 rue de Bercy75012 ParisTél : 01 40 13 48 00www.rmngp.fr</t>
  </si>
  <si>
    <t>Théâtre national de Chaillot</t>
  </si>
  <si>
    <t>www.theatre-chaillot.fr</t>
  </si>
  <si>
    <t>15, rue Malte-Brun</t>
  </si>
  <si>
    <t>75020 Paris</t>
  </si>
  <si>
    <t>www.colline.fr</t>
  </si>
  <si>
    <t>Place de l'Odéon</t>
  </si>
  <si>
    <t>www.theatre-odeon.fr</t>
  </si>
  <si>
    <t>Théâtre national de l'Opéra Comique </t>
  </si>
  <si>
    <t>Place Boieldieu 75002 Paris </t>
  </si>
  <si>
    <t>Tél. : 01 70 23 01 31 </t>
  </si>
  <si>
    <t>www.opera-comique.com</t>
  </si>
  <si>
    <t>67000 Strasbourg</t>
  </si>
  <si>
    <t>www.tns.fr</t>
  </si>
  <si>
    <t>Villa Medicis viale Trinita dei Monti 2</t>
  </si>
  <si>
    <t>188 Rome</t>
  </si>
  <si>
    <t>Tél : +39 06 67612</t>
  </si>
  <si>
    <t>20 rue Beaubourg, dans le Centre Pompidou</t>
  </si>
  <si>
    <t>Tél : 01 44 78 12 76</t>
  </si>
  <si>
    <t>Tél. 01 44 61 20 01</t>
  </si>
  <si>
    <t>75191 Paris cedex 05</t>
  </si>
  <si>
    <t>Tél : 01 44 78 12 34</t>
  </si>
  <si>
    <t>Tél : 01 46 93 99 51</t>
  </si>
  <si>
    <t>75784 Paris cedex 17</t>
  </si>
  <si>
    <t>Tél:. 01 44 34 34 41</t>
  </si>
  <si>
    <t>75343 Paris Cedex 08</t>
  </si>
  <si>
    <t>Tél. : 01 49 54 68 69</t>
  </si>
  <si>
    <t>Tél : 01 60 71 50 71</t>
  </si>
  <si>
    <t>Tél : 01.30.83.78.01</t>
  </si>
  <si>
    <t>3 bis, rue du Conservatoire</t>
  </si>
  <si>
    <t>Tél : 01 42 46 12 92</t>
  </si>
  <si>
    <t>210 avenue Jean-Jaurès</t>
  </si>
  <si>
    <t>Tél : 01 40 40 45 46</t>
  </si>
  <si>
    <t>4 quai Chauveau</t>
  </si>
  <si>
    <t>C. P. 121</t>
  </si>
  <si>
    <t>F- 69266 LYON CEDEX 10</t>
  </si>
  <si>
    <t>Tél : 04 72 19 26 27</t>
  </si>
  <si>
    <t>75038 Paris cedex 02</t>
  </si>
  <si>
    <t>Tél : 01.55.35.18.01</t>
  </si>
  <si>
    <t>Tél : 01 30 30 54 45</t>
  </si>
  <si>
    <t>31 avenue Victor Hugo</t>
  </si>
  <si>
    <t>Tél : 04 90 99 33 34</t>
  </si>
  <si>
    <t>75240 Paris Cedex 06</t>
  </si>
  <si>
    <t>Tél : 01 42 34 97 01</t>
  </si>
  <si>
    <t>Tél. : 01 47 03 50 01</t>
  </si>
  <si>
    <t>3 bis Cité Martignac</t>
  </si>
  <si>
    <t>Tél : 01 53 59 58 61</t>
  </si>
  <si>
    <t>43 avenue des Gobelins</t>
  </si>
  <si>
    <t>Tél. : 01 44 08 53 50</t>
  </si>
  <si>
    <t>23 rue Saint Pierre</t>
  </si>
  <si>
    <t>60001 Beauvais</t>
  </si>
  <si>
    <t>Tél : 03 44 15 39 11</t>
  </si>
  <si>
    <t>34701 Lodève</t>
  </si>
  <si>
    <t>Tél : 04 67 96 40 41</t>
  </si>
  <si>
    <t>61001 Alençon (Orne)</t>
  </si>
  <si>
    <t>Tél. : 02 33 26 33 61</t>
  </si>
  <si>
    <t>33 rue du 86ème RI</t>
  </si>
  <si>
    <t>43001 Le Puy en Velay (Haute-Loire)</t>
  </si>
  <si>
    <t>Tél : 04 71 09 74 42</t>
  </si>
  <si>
    <t>Tél : 01 56 52 53 01</t>
  </si>
  <si>
    <t>13003 Marseille</t>
  </si>
  <si>
    <t>Tél : 04 84 35 13 14</t>
  </si>
  <si>
    <t>Tél : 01 40 20 53 18</t>
  </si>
  <si>
    <t>Tél: 01 85 56 00 37</t>
  </si>
  <si>
    <t>Tél : 01 56 61 70 01</t>
  </si>
  <si>
    <t>122 rue d'Alésia</t>
  </si>
  <si>
    <t>Tél : 01 40 08 80 01</t>
  </si>
  <si>
    <t>Tél : 01 44 41 16 42</t>
  </si>
  <si>
    <t>Tél : 01 44 18 61 11</t>
  </si>
  <si>
    <t>31 rue du Château des Rentiers</t>
  </si>
  <si>
    <t>Tél : 01 44 97 78 01</t>
  </si>
  <si>
    <t>13 avenue Blaise Pascal</t>
  </si>
  <si>
    <t>77447 Marne-la-Vallée cedex 3</t>
  </si>
  <si>
    <t>Tél : 01 60 95 84 01</t>
  </si>
  <si>
    <t>61 Boulevard de la Villette</t>
  </si>
  <si>
    <t>Tél : 01 53 38 50 01</t>
  </si>
  <si>
    <t>75272 Paris Cedex 07</t>
  </si>
  <si>
    <t>Tél : 01 55 04 56 51</t>
  </si>
  <si>
    <t>Tél : 01 72 69 63 01</t>
  </si>
  <si>
    <t>145 Avenue de Flandre</t>
  </si>
  <si>
    <t>Tél : 01 44 65 23 01</t>
  </si>
  <si>
    <t>BP 20675</t>
  </si>
  <si>
    <t>Tél : 01 39 07 40 01</t>
  </si>
  <si>
    <t>741 cours de la Libération</t>
  </si>
  <si>
    <t>CS 70110</t>
  </si>
  <si>
    <t>33406 Talence cedex</t>
  </si>
  <si>
    <t>Tél : 05 57 35 11 01</t>
  </si>
  <si>
    <t>45 Boulevard de Chézy</t>
  </si>
  <si>
    <t>CS 16428</t>
  </si>
  <si>
    <t>35065 Rennes Cedex</t>
  </si>
  <si>
    <t>Tél : 02 99 29 68 01</t>
  </si>
  <si>
    <t>86 rue du Docteur Bousquet</t>
  </si>
  <si>
    <t>63101 Clermont-Ferrand</t>
  </si>
  <si>
    <t>Tél : 04 73 34 71 51</t>
  </si>
  <si>
    <t>CS 12637</t>
  </si>
  <si>
    <t>38037 Grenoble cedex 2</t>
  </si>
  <si>
    <t>Tél : 04 76 69 83 01</t>
  </si>
  <si>
    <t>180 rue de l'Esperou</t>
  </si>
  <si>
    <t>34091 Montpellier</t>
  </si>
  <si>
    <t>Tél : 04 67 91 89 90</t>
  </si>
  <si>
    <t>3 rue Verte</t>
  </si>
  <si>
    <t>59651 Villeneuve d'Ascq</t>
  </si>
  <si>
    <t>Tél : 03 20 61 95 51</t>
  </si>
  <si>
    <t>4 rue Maurice Audin</t>
  </si>
  <si>
    <t>BP 171</t>
  </si>
  <si>
    <t>Tél : 04 78 79 50 51</t>
  </si>
  <si>
    <t>185 avenue de Luminy - case 924</t>
  </si>
  <si>
    <t>13289 Marseille cedex 9</t>
  </si>
  <si>
    <t>Tél : 04 91 82 71 01</t>
  </si>
  <si>
    <t>54001 Nancy</t>
  </si>
  <si>
    <t>Tél : 03 83 30 81 01</t>
  </si>
  <si>
    <t>7 quai François Mitterrand</t>
  </si>
  <si>
    <t>BP 16203</t>
  </si>
  <si>
    <t>44263 Nantes cedex 2</t>
  </si>
  <si>
    <t>Tél : 02 40 16 01 22</t>
  </si>
  <si>
    <t>28 rue Lucien Fromage</t>
  </si>
  <si>
    <t>Tél : 02 32 83 42 01</t>
  </si>
  <si>
    <t>BP 95</t>
  </si>
  <si>
    <t>42004 Saint-Étienne Cedex 1</t>
  </si>
  <si>
    <t>Tél : 04 77 42 35 43</t>
  </si>
  <si>
    <t>BP10038</t>
  </si>
  <si>
    <t>Tél : 03 88 32 25 36</t>
  </si>
  <si>
    <t>84 rue Aristide Maillol</t>
  </si>
  <si>
    <t>BP 10630</t>
  </si>
  <si>
    <t>31107 Toulouse cedex 1</t>
  </si>
  <si>
    <t>Tél : 05 62 11 50 51</t>
  </si>
  <si>
    <t>BP 298</t>
  </si>
  <si>
    <t>18007 Bourges</t>
  </si>
  <si>
    <t>Tél : 02 48 69 78 80</t>
  </si>
  <si>
    <t>BP 22567</t>
  </si>
  <si>
    <t>21026 Dijon cedex</t>
  </si>
  <si>
    <t>Tél : 03 80 30 21 28</t>
  </si>
  <si>
    <t>BP 73825</t>
  </si>
  <si>
    <t>87038 Limoges Cedex 02</t>
  </si>
  <si>
    <t>Tél : 05 55 43 14 01</t>
  </si>
  <si>
    <t>2 place Charles Cartier-Bresson</t>
  </si>
  <si>
    <t>BP 13130</t>
  </si>
  <si>
    <t>54014 Nancy Cedex</t>
  </si>
  <si>
    <t>Tél : 03 83 41 61 62</t>
  </si>
  <si>
    <t>6106 Nice Cedex 2</t>
  </si>
  <si>
    <t>Tél : 04 92 07 73 74</t>
  </si>
  <si>
    <t>3 rue Vivienne</t>
  </si>
  <si>
    <t>Tél : 01 47 03 89 01</t>
  </si>
  <si>
    <t>10 boulevard des Batignolles</t>
  </si>
  <si>
    <t>Tél : 01 56 69 11 31</t>
  </si>
  <si>
    <t>2 41 83 98 98</t>
  </si>
  <si>
    <t>41 ter, rue Vaubecour</t>
  </si>
  <si>
    <t>Tél : 04 72 56 10 71</t>
  </si>
  <si>
    <t>Tél : 01 58 51 52 01</t>
  </si>
  <si>
    <t>Tél : 01 44 84 44 85</t>
  </si>
  <si>
    <t>Tél : 01 44 58 15 16</t>
  </si>
  <si>
    <t>41251 Chambord</t>
  </si>
  <si>
    <t>Tél : 02 54 50 40 01</t>
  </si>
  <si>
    <t>49 rue St Sabin</t>
  </si>
  <si>
    <t>Tél : 01 49 23 12 13</t>
  </si>
  <si>
    <t>Tél : 01 53 41 21 01</t>
  </si>
  <si>
    <t>50171 Beauvoir</t>
  </si>
  <si>
    <t>5 avenue de l'Europe</t>
  </si>
  <si>
    <t>Tél : 01 49 83 20 01</t>
  </si>
  <si>
    <t>Tél : 08 92 89 90 91</t>
  </si>
  <si>
    <t>Tél : 01 56 43 20 21</t>
  </si>
  <si>
    <t>Tél : 01 40 03 75 76</t>
  </si>
  <si>
    <t>2 place du Trocadéro</t>
  </si>
  <si>
    <t>Tél : 01 53 65 30 01</t>
  </si>
  <si>
    <t>Tél : 01 44 62 52 53</t>
  </si>
  <si>
    <t>Tél : 01 44 85 40 01</t>
  </si>
  <si>
    <t>2 avenue de la Marseillaise</t>
  </si>
  <si>
    <t>Tél : 03 88 24 88 01</t>
  </si>
  <si>
    <t>Les établissements publics peuvent être des établissements publics à caractère administratif, comme la Bibliothèque nationale de France,
ou des établissements publics à caractère industriel et commercial, comme la Cité de l'architecture et du patrimoine.
Dans les deux cas, il s'agit de structures qui jouissent d'une certaine autonomie administrative et financière, par rapport à l'administration centrale du Ministère, pour remplir une mission d'intérêt général.</t>
  </si>
  <si>
    <t>Écoles d'architecture (20)</t>
  </si>
  <si>
    <t>Écoles nationales supérieures d'art en région (5)</t>
  </si>
  <si>
    <t>Ecoles nationales supérieures d'architecture (20 établissements)</t>
  </si>
  <si>
    <t>Les services à compétence nationale se situent à mi-chemin entre les administrations centrales et les administrations déconcentrées. En effet, il s’agit de services dont les attributions ont un caractère national – à la différence des services déconcentrés –, et dont l’exécution ne peut être déléguée à un échelon territorial. Mais ils se distinguent également des services centraux, car leurs missions ont un « caractère opérationnel » et, pour ceux placés sous l’autorité d’un ministre, ils bénéficient d’une certaine autonomie.</t>
  </si>
  <si>
    <t>Musées nationaux</t>
  </si>
  <si>
    <t>Musée des châteaux de Malmaison et de Bois-Préau</t>
  </si>
  <si>
    <t>Musée national du château de Malmaison</t>
  </si>
  <si>
    <t>Avenue du château de Malmaison</t>
  </si>
  <si>
    <t>92 500 Rueil-Malmaison</t>
  </si>
  <si>
    <t>Tél : 01 41 29 05 55</t>
  </si>
  <si>
    <t>www.chateau-malmaison.fr</t>
  </si>
  <si>
    <t>Maison Bonaparte</t>
  </si>
  <si>
    <t>Rue Saint Charles</t>
  </si>
  <si>
    <t>20000 Ajaccio</t>
  </si>
  <si>
    <t>Tél : 04 95 21 43 89</t>
  </si>
  <si>
    <t>www.musees-nationaux-malmaison.fr/musee-maisonbonaparte/</t>
  </si>
  <si>
    <t>Musées nationaux de l'île d'Aix (Donation Gourgaud)</t>
  </si>
  <si>
    <t>17 123 Île d'Aix</t>
  </si>
  <si>
    <t>Tél : 05 46 84 66 40</t>
  </si>
  <si>
    <t>www.musees-nationaux-malmaison.fr/musees-napoleonien-africain/</t>
  </si>
  <si>
    <t>Musée de la Renaissance au château d'Écouen</t>
  </si>
  <si>
    <t>95440 Écouen</t>
  </si>
  <si>
    <t>Tél : 01.34.38.38.50</t>
  </si>
  <si>
    <t>www.musee-renaissance.fr</t>
  </si>
  <si>
    <t>Musée du Moyen Age, thermes et hôtel de Cluny</t>
  </si>
  <si>
    <t>Musée de Cluny - Musée national du Moyen Âge</t>
  </si>
  <si>
    <t>6 place Paul Painlevé</t>
  </si>
  <si>
    <t>75005 Paris</t>
  </si>
  <si>
    <t>Tél : 01 53 73 78 00</t>
  </si>
  <si>
    <t>www.musee-moyenage.fr</t>
  </si>
  <si>
    <t xml:space="preserve">Musée Magnin </t>
  </si>
  <si>
    <t>4 Rue des Bons Enfants</t>
  </si>
  <si>
    <t>21 000 Dijon</t>
  </si>
  <si>
    <t>Tél. : 03 80 67 11 10</t>
  </si>
  <si>
    <t>www.musee-magnin.fr</t>
  </si>
  <si>
    <t xml:space="preserve">Musée national Clemenceau - de Lattre </t>
  </si>
  <si>
    <t>1 rue Plante Choux</t>
  </si>
  <si>
    <t>85390 Mouilleron en Pareds</t>
  </si>
  <si>
    <t>Tél. : 02 51 00 31 49</t>
  </si>
  <si>
    <t>www.musee-clemenceau-delattre.fr</t>
  </si>
  <si>
    <t xml:space="preserve">Musée Fernand-Léger </t>
  </si>
  <si>
    <t>Chemin du Val de Pome</t>
  </si>
  <si>
    <t>06410 Biot</t>
  </si>
  <si>
    <t>Tél : 04 92 91 50 30</t>
  </si>
  <si>
    <t>www.musee-fernandleger.fr</t>
  </si>
  <si>
    <t xml:space="preserve">Musée national Marc-Chagall </t>
  </si>
  <si>
    <t>Avenue Docteur Ménard</t>
  </si>
  <si>
    <t>06000, Nice</t>
  </si>
  <si>
    <t>Tél. : 04 93 53 87 20</t>
  </si>
  <si>
    <t>www.musee-chagall.fr</t>
  </si>
  <si>
    <t xml:space="preserve">Musée national Pablo Picasso, La Guerre et la Paix </t>
  </si>
  <si>
    <t>Place de la libération</t>
  </si>
  <si>
    <t>06220 Vallauris</t>
  </si>
  <si>
    <t>Tél : 04 93 64 71 83</t>
  </si>
  <si>
    <t>www.musee-picasso-vallauris.fr</t>
  </si>
  <si>
    <t>Musée national de Port-Royal des Champs</t>
  </si>
  <si>
    <t>Route des Granges</t>
  </si>
  <si>
    <t>78114 Magny-les-Hameaux</t>
  </si>
  <si>
    <t>Tél : 01 39 30 72 72</t>
  </si>
  <si>
    <t>www.port-royal-des-champs.eu</t>
  </si>
  <si>
    <t>Musée national de Préhistoire</t>
  </si>
  <si>
    <t>1, rue du musée</t>
  </si>
  <si>
    <t>24620 Les Eyzies-de-Tayac</t>
  </si>
  <si>
    <t>Tél: 05.53.06.45.65</t>
  </si>
  <si>
    <t>www.musee-prehistoire-eyzies.fr</t>
  </si>
  <si>
    <t>Autres musées</t>
  </si>
  <si>
    <t xml:space="preserve">Musées et domaine nationaux du palais de Compiègne </t>
  </si>
  <si>
    <t>Place du Général de Gaulle</t>
  </si>
  <si>
    <t>60200 Compiègne</t>
  </si>
  <si>
    <t>Tél. : 03 44 38 47 00</t>
  </si>
  <si>
    <t>www.palaisdecompiegne.fr</t>
  </si>
  <si>
    <t>Musée franco-américain du château de Blérancourt</t>
  </si>
  <si>
    <t>Château de Blérancourt</t>
  </si>
  <si>
    <t>02300 Blérancourt</t>
  </si>
  <si>
    <t>Tél. : 03 23 39 14 71</t>
  </si>
  <si>
    <t>www.museefrancoamericain.fr</t>
  </si>
  <si>
    <t>Musée d'Archéologie Nationale - Domaine National de Saint-Germain-en-Laye</t>
  </si>
  <si>
    <t>Château - Place Charles de Gaulle</t>
  </si>
  <si>
    <t>78105 Saint-Germain-en-Laye Cedex</t>
  </si>
  <si>
    <t>Tél : 01 39 10 13 00</t>
  </si>
  <si>
    <t>www.musee-archeologienationale.fr</t>
  </si>
  <si>
    <t>Musée national et domaine du château de Pau</t>
  </si>
  <si>
    <t>Rue du château</t>
  </si>
  <si>
    <t>64000 Pau</t>
  </si>
  <si>
    <t>Tél. : 05 59 82 38 00</t>
  </si>
  <si>
    <t>www.chateau-pau.fr</t>
  </si>
  <si>
    <t>Musée des plans-reliefs</t>
  </si>
  <si>
    <t>Hôtel national des Invalides</t>
  </si>
  <si>
    <t>Tél : 01 45 51 95 05</t>
  </si>
  <si>
    <t>www.museedesplansreliefs.culture.fr</t>
  </si>
  <si>
    <t>Autres services</t>
  </si>
  <si>
    <t>Centre de recherche et de restauration des musées de France(C2RMF)</t>
  </si>
  <si>
    <t>Palais du Louvre - Porte des Lions</t>
  </si>
  <si>
    <t>14 Quai François Mitterrand</t>
  </si>
  <si>
    <t>Tél : 01 40 20 56 52</t>
  </si>
  <si>
    <t>www.c2rmf.fr</t>
  </si>
  <si>
    <t xml:space="preserve">Entrée du site de Flore </t>
  </si>
  <si>
    <t>Pavillon de Flore</t>
  </si>
  <si>
    <t>Palais du Louvre - Porte Jaujard</t>
  </si>
  <si>
    <t>Tél: 01 40 20 24 20</t>
  </si>
  <si>
    <t>Site de Versailles</t>
  </si>
  <si>
    <t>Petite écurie du Roi</t>
  </si>
  <si>
    <t>2 avenue Rockefeller - CS 50505</t>
  </si>
  <si>
    <t>78007 Versailles</t>
  </si>
  <si>
    <t>Tél: 01 39 25 28 28</t>
  </si>
  <si>
    <t>Service des bibliothèques, des archives et de la documentation générale des musées de France</t>
  </si>
  <si>
    <t>Pour venir :</t>
  </si>
  <si>
    <t>Palais du Louvre</t>
  </si>
  <si>
    <t>2, quai François Mitterrand</t>
  </si>
  <si>
    <t>Adresse postale:</t>
  </si>
  <si>
    <t>Service des musées de France</t>
  </si>
  <si>
    <t>Bibliothèque centrale des musées nationaux</t>
  </si>
  <si>
    <t>6 rue des Pyramides</t>
  </si>
  <si>
    <t>75041 Paris Cedex 01</t>
  </si>
  <si>
    <t>Tél : 01 40 20 52 70</t>
  </si>
  <si>
    <t>Département des recherches archéologiques subaquatiques et sous-marines(Drassm)</t>
  </si>
  <si>
    <t>Ministère de la Culture et de la Communication</t>
  </si>
  <si>
    <t>Direction générale des patrimoines</t>
  </si>
  <si>
    <t>147, plage de l'Estaque</t>
  </si>
  <si>
    <t>13016 Marseille</t>
  </si>
  <si>
    <t>Tél. : 04 91 14 28 00</t>
  </si>
  <si>
    <t>Page "Le Département des recherches subaquatiques et sous-marines" sur le site du Ministère</t>
  </si>
  <si>
    <t>Laboratoire de recherche des monuments historiques</t>
  </si>
  <si>
    <t>29, rue de Paris</t>
  </si>
  <si>
    <t>77420 Champs-sur-Marne</t>
  </si>
  <si>
    <t>Tél : 01 60 37 77 80</t>
  </si>
  <si>
    <t>www.lrmh.fr</t>
  </si>
  <si>
    <t>Médiathèque de l'architecture et du patrimoine</t>
  </si>
  <si>
    <t>11 rue du Séminaire de Conflans</t>
  </si>
  <si>
    <t>94220 Charenton-le-Pont</t>
  </si>
  <si>
    <t>Tél : 01 40 15 76 57</t>
  </si>
  <si>
    <t>www.mediatheque-patrimoine.culture.gouv.fr</t>
  </si>
  <si>
    <t>Archives nationales (sites de Paris, Fontainebleau et Pierrefitte-sur-Seine)</t>
  </si>
  <si>
    <t>Site de Pierrefitte-sur-Seine :</t>
  </si>
  <si>
    <t>59, rue Guynemer - 93383 Pierrefitte-sur-Seine</t>
  </si>
  <si>
    <t>Tél : 01 75 47 20 02</t>
  </si>
  <si>
    <t>Site de Paris :</t>
  </si>
  <si>
    <t>60, rue des Francs Bourgeois, 75003 Paris</t>
  </si>
  <si>
    <t>Tél : 01 40 27 60 96</t>
  </si>
  <si>
    <t>Site de Fontainebleau :</t>
  </si>
  <si>
    <t>Tél : 01 72 79 91 00</t>
  </si>
  <si>
    <t>www.archives-nationales.culture.gouv.fr</t>
  </si>
  <si>
    <t>Archives nationales du monde du travail</t>
  </si>
  <si>
    <t>BP 405</t>
  </si>
  <si>
    <t>78, boulevard du Général Leclerc</t>
  </si>
  <si>
    <t>59057 Roubaix Cedex 1</t>
  </si>
  <si>
    <t>Tél : 03 20 65 38 00</t>
  </si>
  <si>
    <t>www.archivesnationales.culture.gouv.fr/camt/</t>
  </si>
  <si>
    <t>Archives nationales d'outre-mer</t>
  </si>
  <si>
    <t>29, chemin du Moulin de Testas</t>
  </si>
  <si>
    <t>13090 Aix-en-Provence</t>
  </si>
  <si>
    <t>Tél : 04 42 93 38 50</t>
  </si>
  <si>
    <t>www.archivesnationales.culture.gouv.fr/anom/fr/</t>
  </si>
  <si>
    <t>CNL - Centre national du livre</t>
  </si>
  <si>
    <t>BnF - Bibliothèque nationale de France</t>
  </si>
  <si>
    <t>CNAC - Centre national des arts du cirque (association)</t>
  </si>
  <si>
    <t>LFI 2022</t>
  </si>
  <si>
    <t>ENSAD - Ecole nationale supérieure des arts décoratifs</t>
  </si>
  <si>
    <t>ENSBA - Ecole nationale supérieure des beaux arts</t>
  </si>
  <si>
    <t>CAPA - Cité de l'architecture et du patrimoine</t>
  </si>
  <si>
    <t>CNAC - GP - Centre national d'art et de culture Georges Pompidou</t>
  </si>
  <si>
    <t>MuCEM - Musée des civilisations de l'Europe et de la méditerranée (Marseille)</t>
  </si>
  <si>
    <t>Ensemble intercontemporain (association)</t>
  </si>
  <si>
    <t>(a) L'Inrap conduit les fouilles archéologiques préventives prescrites par les services archéologiques de l'Etat sur l'ensemble du territoire, en partage avec les services archéologiques des collecitivtés territoriales ou les structures distinctes, privées ou publiques ; il assure l'exploitation scientifique et la diffusion des résultats des fouilles et concourt à l'enseignement, la diffusion culturelle et la valorisation de l'archéologie.</t>
  </si>
  <si>
    <t>(b) Le CMN entretient, conserve et restaure 76 monuments confiés par l'Etat et 6 monuments lui appartenant (en tant qu'établissement public administratif) ainsi que leurs collections dont il a la garde ; il assure également leur mise en valeur pour en promouvoir la connaissance, la présentation publique et la fréquentation.</t>
  </si>
  <si>
    <t>(c) La RMN-GP, outre la gestion du Grand Palais, assure l'accueil du public et perçoit les droits d'entrée dans les musées nationaux, gère l'exploitation de leurs espaces commerciaux, organise les expositions et événements autour des collections des musées, nationaux en particulier, édite et diffuse les ouvrages et les produits dérivés, liés aux collections nationales en particulier, enrichit ces dernières par l'acquisition de biens culturels pour le compte de l'Etat, produit, conserve, valorise et diffuse les reproductions photographiques de ces collections.</t>
  </si>
  <si>
    <t>(k) L'OPPIC est chargé de la maîtrise d'ouvrage et du pilotage des grands projets immobiliers de l'Etat dans les domaines culturels et patrimoniaux. Ses missions peuvent également être conduites, éventuellement à titre onéreux, pour le compte de collectivités territoriales ou d'autres personnes publiques ainsi qu'à l'étranger.</t>
  </si>
  <si>
    <r>
      <t xml:space="preserve">Institut national de recherches archéologiques préventives </t>
    </r>
    <r>
      <rPr>
        <vertAlign val="superscript"/>
        <sz val="8"/>
        <rFont val="Arial"/>
        <family val="2"/>
      </rPr>
      <t>(a)</t>
    </r>
  </si>
  <si>
    <r>
      <t xml:space="preserve">CNM - Centre des monuments nationaux </t>
    </r>
    <r>
      <rPr>
        <vertAlign val="superscript"/>
        <sz val="8"/>
        <rFont val="Arial"/>
        <family val="2"/>
      </rPr>
      <t>(b)</t>
    </r>
  </si>
  <si>
    <t>** Bloc local : communes de plus de 3 500 habitants et groupements de communes actifs en matière culturelle comptant au moins une commune de plus de 3500 habitants.</t>
  </si>
  <si>
    <t>LFI 2023</t>
  </si>
  <si>
    <t xml:space="preserve">     Programme de transformation</t>
  </si>
  <si>
    <t>dont dépenses d'investissement</t>
  </si>
  <si>
    <t>dont subventions aux opérateurs pour charge de service public</t>
  </si>
  <si>
    <t>dont subventions pour charges d'investissement</t>
  </si>
  <si>
    <t>dont dotation en fonds propres</t>
  </si>
  <si>
    <t>Dépenses des comptes spéciaux concourant aux politiques publiques visées par la mission</t>
  </si>
  <si>
    <t xml:space="preserve">Ressources affectées*** </t>
  </si>
  <si>
    <t>Crédits budgétaires revenant aux opérateurs</t>
  </si>
  <si>
    <t>Moyens alloués à la mission, hors opérateurs de l'Etat</t>
  </si>
  <si>
    <t>Crédits budgétaires de la mission, hors moyens consacrés aux opérateurs</t>
  </si>
  <si>
    <t>Évaluation des fonds de concours et des attributions de produits*</t>
  </si>
  <si>
    <t>Dépenses fiscales concourant à la mission**</t>
  </si>
  <si>
    <t>Moyens alloués aux opérateurs de l’Etat et autres organismes en charge de services publics</t>
  </si>
  <si>
    <t>Crédits budgétaires de la mission, hors moyens consacrés aux opérateurs 421 774 350</t>
  </si>
  <si>
    <t>Culture</t>
  </si>
  <si>
    <t>Crédits budgétaires revenant aux opérateurs 314 173 572</t>
  </si>
  <si>
    <t>Ressources affectées*** 50 000 000</t>
  </si>
  <si>
    <t>Médias, livre et industries culturelles</t>
  </si>
  <si>
    <t>SUPPR</t>
  </si>
  <si>
    <t>Départements*</t>
  </si>
  <si>
    <t xml:space="preserve">* Les dépenses de fonctionnement consolidées des départements ont été redressées pour les dépenses de personnel  </t>
  </si>
  <si>
    <t>Millions d'euros courants et %</t>
  </si>
  <si>
    <t>LFI
/ exécutés</t>
  </si>
  <si>
    <t>est.</t>
  </si>
  <si>
    <t>Agriculture et (Alimentation) de la Souveraineté alimentaire</t>
  </si>
  <si>
    <t>Transition écologique (2022 et suiv.) et Cohésion des territoires (yc relation avec les collectivités territoriales*)</t>
  </si>
  <si>
    <t>Economie et Finances, Souveraineté industrielle et numérique</t>
  </si>
  <si>
    <r>
      <t xml:space="preserve">Etablissement public du Mont St-Michel (P 113 – Paysages, eau et biodiversité) </t>
    </r>
    <r>
      <rPr>
        <vertAlign val="superscript"/>
        <sz val="8"/>
        <rFont val="Arial"/>
        <family val="2"/>
      </rPr>
      <t>(d)</t>
    </r>
  </si>
  <si>
    <t>Transition écologique (et solidaire) (regroupé avec Cohésion des territoires, 2021 et suiv.)</t>
  </si>
  <si>
    <t>Intégration à partir de 2018 des recettes nettes numériques pour la presse, la télévision et la radio.</t>
  </si>
  <si>
    <t>*Hors taxes, après déduction des remises professionnelles, commissions de régies incluses, hors échanges marchandises et petites annonces presse incluses.</t>
  </si>
  <si>
    <t>Millions d'euros constants 2023</t>
  </si>
  <si>
    <t>2024/2023</t>
  </si>
  <si>
    <t>Evolution</t>
  </si>
  <si>
    <t>Note : crédits exécutés et lois de finances initiales.</t>
  </si>
  <si>
    <r>
      <t>Programme 361 Transmission des savoirs et démocratisation de la culture (ex-224)</t>
    </r>
    <r>
      <rPr>
        <vertAlign val="superscript"/>
        <sz val="8"/>
        <rFont val="Arial"/>
        <family val="2"/>
      </rPr>
      <t>(1)</t>
    </r>
  </si>
  <si>
    <r>
      <t>Programme 224 Soutien aux politiques du ministère de la culture (ex-224)</t>
    </r>
    <r>
      <rPr>
        <vertAlign val="superscript"/>
        <sz val="8"/>
        <rFont val="Arial"/>
        <family val="2"/>
      </rPr>
      <t>(2)</t>
    </r>
  </si>
  <si>
    <r>
      <t>Mission recherche et enseignement supérieur</t>
    </r>
    <r>
      <rPr>
        <b/>
        <vertAlign val="superscript"/>
        <sz val="8"/>
        <rFont val="Arial"/>
        <family val="2"/>
      </rPr>
      <t>(4)</t>
    </r>
  </si>
  <si>
    <r>
      <t>Programme 186 Recherche culturelle et culture scientifique</t>
    </r>
    <r>
      <rPr>
        <vertAlign val="superscript"/>
        <sz val="8"/>
        <rFont val="Arial"/>
        <family val="2"/>
      </rPr>
      <t>(4)</t>
    </r>
  </si>
  <si>
    <r>
      <t>Programme 334 Livre et industries culturelles</t>
    </r>
    <r>
      <rPr>
        <vertAlign val="superscript"/>
        <sz val="8"/>
        <rFont val="Arial"/>
        <family val="2"/>
      </rPr>
      <t>(5)</t>
    </r>
  </si>
  <si>
    <r>
      <rPr>
        <vertAlign val="superscript"/>
        <sz val="8"/>
        <rFont val="Arial"/>
        <family val="2"/>
      </rPr>
      <t>(1)</t>
    </r>
    <r>
      <rPr>
        <sz val="8"/>
        <rFont val="Arial"/>
        <family val="2"/>
      </rPr>
      <t xml:space="preserve"> Le Programme 361 « Transmission des savoirs et démocratisation de la culture » regroupe à partir de 2021 l’ensemble des crédits liés à l’action culturelle, au soutien à la langue française et aux langues de France ainsi qu’aux politiques d’enseignement supérieur et de recherche.</t>
    </r>
  </si>
  <si>
    <r>
      <rPr>
        <vertAlign val="superscript"/>
        <sz val="8"/>
        <rFont val="Arial"/>
        <family val="2"/>
      </rPr>
      <t>(2)</t>
    </r>
    <r>
      <rPr>
        <sz val="8"/>
        <rFont val="Arial"/>
        <family val="2"/>
      </rPr>
      <t xml:space="preserve"> Le programme 224 nouvellement intitulé « Soutien aux politiques culturelles » depuis la loi de finances 2021 est dédié aux fonctions supports et à l’action culturelle internationale du ministère de la Culture</t>
    </r>
  </si>
  <si>
    <r>
      <rPr>
        <vertAlign val="superscript"/>
        <sz val="8"/>
        <rFont val="Arial"/>
        <family val="2"/>
      </rPr>
      <t>(4)</t>
    </r>
    <r>
      <rPr>
        <sz val="8"/>
        <rFont val="Arial"/>
        <family val="2"/>
      </rPr>
      <t xml:space="preserve"> Ce programme a disparu en 2021.</t>
    </r>
  </si>
  <si>
    <t>LFI / Exécution</t>
  </si>
  <si>
    <t>Projet de loi de finances
(PLF)</t>
  </si>
  <si>
    <r>
      <t xml:space="preserve">LFI/exécutés
</t>
    </r>
    <r>
      <rPr>
        <b/>
        <sz val="8"/>
        <rFont val="Arial"/>
        <family val="2"/>
      </rPr>
      <t>volume</t>
    </r>
  </si>
  <si>
    <t>PLF 2024</t>
  </si>
  <si>
    <t>autres</t>
  </si>
  <si>
    <t>rémunérés par
l'établissement</t>
  </si>
  <si>
    <t>&gt; 5%</t>
  </si>
  <si>
    <t>(e) Établissement public chargé de la conservation et de la restauraiton de la cathédrale Notre-Dame de Paris : les recettes de l’établissement sont notamment constituées de subventions de l’Etat issues du produit des fonds de concours provenant de la souscription nationale ainsi que de ressources propres provenant principalement de conventions de mécénat conclues en propre par l’établissement. A fin 2022, l’établissement s’est vu verser 184,2 M€ au titre des fonds de concours provenant de la souscription nationale.</t>
  </si>
  <si>
    <r>
      <t xml:space="preserve">Etablissement public chargé de la conservation et de la restauration de la cathédrale Notre-Dame de Paris </t>
    </r>
    <r>
      <rPr>
        <vertAlign val="superscript"/>
        <sz val="8"/>
        <rFont val="Arial"/>
        <family val="2"/>
      </rPr>
      <t>(e)</t>
    </r>
  </si>
  <si>
    <t>(j) (h) L'ENSMIS, école nationale supérieure des mêtiers de l'image et du son,S ne perçoit pas de subvention pour charges de service public. Ses subventions de fonctionnement et d’investissement sont versées par le Centre national du cinéma et de l’image animée (CNC).</t>
  </si>
  <si>
    <t>(i) (g) y compris crédit du programme 192 Recherche et enseignement supérieur en matière économique et industrielle : 1,963 M€, PLF 2024</t>
  </si>
  <si>
    <t>(g) (j) La Cinémathèque française ne perçoit pas de subvention pour charges de service public ni de dotation en fonds propres versées directement par l’État. Ses subventions de fonctionnement et d’investissement sont versées par le Centre national du cinéma et de l’image animée (CNC).</t>
  </si>
  <si>
    <t>(f) (i) Le CNC est à la fois l’administration centrale de l’État en charge de la politique du cinéma, et un établissement public placé sous la tutelle des ministres chargés de la culture et du budget.
Le CNC attribue des aides exclusivement financées par des taxes affectées.</t>
  </si>
  <si>
    <t>(h) (f) Les écoles nationales supérieures d’art en région regroupent sept établissements d’enseignement supérieur dans le champ des arts visuels : l’École nationale supérieure de la Photographie d’Arles, les Écoles nationales supérieures d’art de Bourges, de Dijon, de Limoges-Aubusson, de Paris-Cergy, l’École nationale supérieure d’art et de design de Nancy et la Villa Arson à Nice.</t>
  </si>
  <si>
    <t>(d) En 2022, l’Etat contribue au financement de l’EPIC du Mont-Saint-Michel à hauteur de 3,175 M€ dont 1,5 M€ provenant du ministère de la Transition écologique et solidaire et 1,675 M€ provenant du ministère de la Culture via une subvention versée directement par le Centre des monuments nationaux (CMN) à l’établissement. Le financement de l’établissement est complété par une contribution des collectivités territoriales fixée à hauteur de 0,49 M€ au total.
En 2021, la contribution de l’Etat a été arrêtée de la façon suivante : 1,5 M€ du ministère de la Transition écologique et solidaire au titre de l’exploitation du barrage et des aménagements hydrauliques et 2,475 M€ au titre du ministère de la Culture (dont 1,675 M€ via le CMN et 0,8 M€ versés directement à titre exceptionnel afin de couvrir des travaux de gros entretien, non inscrit en LFI). Le financement de l’établissement est complété par une contribution des collectivités territoriales pour un montant de 0,3 M€ au titre de 2021.</t>
  </si>
  <si>
    <t>ETPT*** (PLF 2024)</t>
  </si>
  <si>
    <r>
      <t xml:space="preserve">CNC - Centre national du cinéma et de l'image animée </t>
    </r>
    <r>
      <rPr>
        <vertAlign val="superscript"/>
        <sz val="8"/>
        <rFont val="Arial"/>
        <family val="2"/>
      </rPr>
      <t>(f)</t>
    </r>
  </si>
  <si>
    <r>
      <t xml:space="preserve">Cinémathèque française (association) </t>
    </r>
    <r>
      <rPr>
        <vertAlign val="superscript"/>
        <sz val="8"/>
        <rFont val="Arial"/>
        <family val="2"/>
      </rPr>
      <t>(g)</t>
    </r>
  </si>
  <si>
    <r>
      <t>Ecoles nationales supérieures d'art en région (7 établissements)</t>
    </r>
    <r>
      <rPr>
        <vertAlign val="superscript"/>
        <sz val="8"/>
        <rFont val="Arial"/>
        <family val="2"/>
      </rPr>
      <t xml:space="preserve"> (h)</t>
    </r>
  </si>
  <si>
    <r>
      <t xml:space="preserve">ENSCI - Ecole nationale supérieure de création industrielle </t>
    </r>
    <r>
      <rPr>
        <vertAlign val="superscript"/>
        <sz val="8"/>
        <rFont val="Arial"/>
        <family val="2"/>
      </rPr>
      <t>(i)</t>
    </r>
  </si>
  <si>
    <r>
      <t xml:space="preserve">ENSMIS - Ecole naionale supérieure des métiers de l'image et du son (Fémis) </t>
    </r>
    <r>
      <rPr>
        <vertAlign val="superscript"/>
        <sz val="8"/>
        <rFont val="Arial"/>
        <family val="2"/>
      </rPr>
      <t>(j)</t>
    </r>
  </si>
  <si>
    <r>
      <t xml:space="preserve">OPPIC - Opérateur du patrimoine et des projets immobiliers de la Culture </t>
    </r>
    <r>
      <rPr>
        <vertAlign val="superscript"/>
        <sz val="8"/>
        <rFont val="Arial"/>
        <family val="2"/>
      </rPr>
      <t>(k)</t>
    </r>
  </si>
  <si>
    <t>Crédits de paiement, en millions d'euros courants et %</t>
  </si>
  <si>
    <t>Millions d'euros courants</t>
  </si>
  <si>
    <t xml:space="preserve">    Taxes sur l'édition vidéo (physique) et la vidéo à la demande (diffusion en ligne de contenus audiovisuels)*</t>
  </si>
  <si>
    <t xml:space="preserve">    Taxe et prélèvements spéciaux au titre des films pornographiques ou d'incitation à la violence</t>
  </si>
  <si>
    <t xml:space="preserve">    Taxe sur les appareils de reproduction ou d'impression **</t>
  </si>
  <si>
    <t xml:space="preserve">    Taxe sur l'édition des ouvrages de librairie **</t>
  </si>
  <si>
    <t xml:space="preserve">    Taxes sur les spectacles de variétés ***</t>
  </si>
  <si>
    <t xml:space="preserve">    Taxe sur les spectacles au profit de l'ASTP (association pour le soutien du théâtre privé)</t>
  </si>
  <si>
    <t xml:space="preserve">  Centre national du cinéma et de l’image animée (CNC)</t>
  </si>
  <si>
    <t xml:space="preserve">  Centre national du livre (CNL) **</t>
  </si>
  <si>
    <t xml:space="preserve">  Centre national de la chanson, des variétés et du jazz (CNV) ***</t>
  </si>
  <si>
    <t xml:space="preserve">  Association pour le soutien du théâtre privé (ASTP)</t>
  </si>
  <si>
    <t xml:space="preserve">  Bénéficiaires :</t>
  </si>
  <si>
    <t>Tableau 3 : Crédits du budget général des autres ministères et budgets annexes affectés à la culture et à la communication, 2019 - 2024</t>
  </si>
  <si>
    <t>Tableau 5 : Dépenses fiscales en matière de culture et de communication, 2019 - 2024</t>
  </si>
  <si>
    <t>Tableau 6 : Redevances et taxes fiscales affectées au financement de la culture et de la communication, 2019 - 2024</t>
  </si>
  <si>
    <t>Tableau 1 : Budget du ministère de la Culture, 2019 - 2024 (crédits exécutés et lois de finances initiales)</t>
  </si>
  <si>
    <t>année</t>
  </si>
  <si>
    <t>Départements**</t>
  </si>
  <si>
    <t xml:space="preserve">** Les dépenses de fonctionnement consolidées des départements ont été redressées pour les dépenses de personnel  </t>
  </si>
  <si>
    <t>Evolution annuelle du budget du ministère de la Culture (total) en valeur</t>
  </si>
  <si>
    <t>Evolution annuelle du budget du ministère de la Culture (total) en volume</t>
  </si>
  <si>
    <t>Evolution annuelle du budget général de l'Etat (brut, hors fonds de concours) en valeur</t>
  </si>
  <si>
    <t>Evolution annuelle du budget général de l'Etat (brut, hors fonds de concours) en volume</t>
  </si>
  <si>
    <t>Part dans le budget total du ministère de la Culture</t>
  </si>
  <si>
    <t>LFI/LFI</t>
  </si>
  <si>
    <t>Tableau 2 : Financement des établissements publics culturels ("opérateurs") :</t>
  </si>
  <si>
    <t>*** Equivalents temps pleins travaillés ; à titre indicatif les effectifs des emplois rémunérés directement sur le budget du ou des ministères de tutelle sont indiqués dans la colonne "autres"</t>
  </si>
  <si>
    <t>Graphique 1 : Dépenses culturelles consolidées des collectivités territoriales en 2022</t>
  </si>
  <si>
    <t>Graphique 2 : Evolution des dépenses publiques en matière culturelle, 2014 - 2024</t>
  </si>
  <si>
    <t>Tableau 4 : Répartition sectorielle des dépenses culturelles des collectivités territoriales en 2022</t>
  </si>
  <si>
    <t>Villes de 3 500 habitants et plus</t>
  </si>
  <si>
    <t>EPCI comportant au moins une ville de 3 500 habitants ou plus</t>
  </si>
  <si>
    <t>Source : ministère de l'Economie et des finances, 2023</t>
  </si>
  <si>
    <t>Bloc local*</t>
  </si>
  <si>
    <t>* Bloc local : communes de plus de 3 500 habitants et groupements de communes actifs en matière culturelle comptant au moins une commune de plus de 3500 habitants.</t>
  </si>
  <si>
    <t>en valeur</t>
  </si>
  <si>
    <t>en volume</t>
  </si>
  <si>
    <t>et nombre d'équivalents temps pleins travaillés</t>
  </si>
  <si>
    <r>
      <t>Tableau 2 : Crédits affectés aux établissements publics culturels sous tutelle du ministère de la Culture et nombre d'équivalents temps pleins travaillés (</t>
    </r>
    <r>
      <rPr>
        <u/>
        <sz val="8"/>
        <color rgb="FFFF0000"/>
        <rFont val="Arial"/>
        <family val="2"/>
      </rPr>
      <t xml:space="preserve">2020 - </t>
    </r>
    <r>
      <rPr>
        <u/>
        <sz val="8"/>
        <color theme="10"/>
        <rFont val="Arial"/>
        <family val="2"/>
      </rPr>
      <t>2024)</t>
    </r>
  </si>
  <si>
    <t>Graphique 1 : Dépenses culturelles consolidées* des collectivités territoriales en 2023</t>
  </si>
  <si>
    <t>Source : Direction générale des finances publiques ; traitements DEPS, ministère de la Culture, 2025</t>
  </si>
  <si>
    <t>Dépenses culturelles consolidées* des collectivités territoriales en 2023</t>
  </si>
  <si>
    <r>
      <rPr>
        <u/>
        <sz val="8"/>
        <rFont val="Arial"/>
        <family val="2"/>
      </rPr>
      <t>Sources</t>
    </r>
    <r>
      <rPr>
        <sz val="8"/>
        <rFont val="Arial"/>
        <family val="2"/>
      </rPr>
      <t xml:space="preserve"> : ministère de l'Economie et des finances, Direction générale des finances publiques ; traitements DEPS, ministère de la Culture, 2025</t>
    </r>
  </si>
  <si>
    <r>
      <rPr>
        <u/>
        <sz val="8"/>
        <rFont val="Arial"/>
        <family val="2"/>
      </rPr>
      <t>Sources</t>
    </r>
    <r>
      <rPr>
        <sz val="8"/>
        <rFont val="Arial"/>
        <family val="2"/>
      </rPr>
      <t xml:space="preserve"> : ministère de l'Economie, Direction générale des finances publiques ; traitements DEPS, ministère de la Culture, 2025</t>
    </r>
  </si>
  <si>
    <r>
      <t>Tableau 4 : Répartition sectorielle des dépenses des collectivités territoriales</t>
    </r>
    <r>
      <rPr>
        <b/>
        <sz val="8"/>
        <color rgb="FF0070C0"/>
        <rFont val="Arial"/>
        <family val="2"/>
      </rPr>
      <t xml:space="preserve"> en 2023</t>
    </r>
  </si>
  <si>
    <t>Lecture : 37 % des dépenses culturelles des communes sont consacrées à la conservation et à la diffusion du patrimoine, 28 % à l’expression artistique et activités culturelles</t>
  </si>
  <si>
    <t>Graphique 3 : Recettes publicitaires nettes* des médias, 2014-2024</t>
  </si>
  <si>
    <t>Millions d'euros constants 2024</t>
  </si>
  <si>
    <t>Évolution 2024/2023</t>
  </si>
  <si>
    <t>Source : Irep/Observatoire de l'e-pub du SRI / DEPS, ministère de la Culture, 2025</t>
  </si>
  <si>
    <t>Évol. 2024/2023</t>
  </si>
  <si>
    <t>2025/2024</t>
  </si>
  <si>
    <t>LFI
/ LFI</t>
  </si>
  <si>
    <r>
      <t xml:space="preserve">LFI/LFI
</t>
    </r>
    <r>
      <rPr>
        <b/>
        <sz val="8"/>
        <rFont val="Arial"/>
        <family val="2"/>
      </rPr>
      <t>volume</t>
    </r>
  </si>
  <si>
    <t>Source : ministère de l'Economie et des finances, 2025</t>
  </si>
  <si>
    <t>LFI 2024</t>
  </si>
  <si>
    <t>LFI 2025</t>
  </si>
  <si>
    <t>PLF 2026</t>
  </si>
  <si>
    <r>
      <t>Programme 175 - Patrimoines</t>
    </r>
    <r>
      <rPr>
        <sz val="8"/>
        <rFont val="Arial"/>
        <family val="2"/>
      </rPr>
      <t xml:space="preserve"> (</t>
    </r>
    <r>
      <rPr>
        <sz val="8"/>
        <color rgb="FFFF0000"/>
        <rFont val="Arial"/>
        <family val="2"/>
      </rPr>
      <t>y compris crédits des programmes 150 Formations supérieures et recherche universitaire : 24 M€, 176 Police nationale : 4,4 M€, 214 Soutien de la politique de l'éducation nationale : 4,8 M€ et 113 Paysages, eau et biodiversité : 1,5 M€, PLF 2024</t>
    </r>
    <r>
      <rPr>
        <sz val="8"/>
        <rFont val="Arial"/>
        <family val="2"/>
      </rPr>
      <t>)</t>
    </r>
  </si>
  <si>
    <t>AFR - Académie de France à Rome (dont 0,822 M€ au titre du programme 175)</t>
  </si>
  <si>
    <r>
      <t>Etablissement public du musée du Quai Branly (</t>
    </r>
    <r>
      <rPr>
        <sz val="8"/>
        <color rgb="FFFF0000"/>
        <rFont val="Arial"/>
        <family val="2"/>
      </rPr>
      <t>y compris crédits du programme 150 : 23,8 M€ LFI 2023 et 23,984 M€ PLF 2024</t>
    </r>
    <r>
      <rPr>
        <sz val="8"/>
        <rFont val="Arial"/>
        <family val="2"/>
      </rPr>
      <t>)</t>
    </r>
  </si>
  <si>
    <r>
      <t>Rmn-GP - Etablissement public de la Réunion des musées nationaux et du Grand Palais des Champs-Élysées
(</t>
    </r>
    <r>
      <rPr>
        <sz val="8"/>
        <color rgb="FFFF0000"/>
        <rFont val="Arial"/>
        <family val="2"/>
      </rPr>
      <t>les crédits du programme 176 Police nationale : 2,15 M€ en LFI 2022, 0 € en 2023 et 4,4 M€ en 2024</t>
    </r>
    <r>
      <rPr>
        <sz val="8"/>
        <rFont val="Arial"/>
        <family val="2"/>
      </rPr>
      <t>)</t>
    </r>
    <r>
      <rPr>
        <vertAlign val="superscript"/>
        <sz val="8"/>
        <rFont val="Arial"/>
        <family val="2"/>
      </rPr>
      <t xml:space="preserve"> (c)</t>
    </r>
  </si>
  <si>
    <r>
      <t>EPPD - Établissement public du palais de la porte Dorée (</t>
    </r>
    <r>
      <rPr>
        <sz val="8"/>
        <color rgb="FFFF0000"/>
        <rFont val="Arial"/>
        <family val="2"/>
      </rPr>
      <t>y compris crédits du programme 214 : 4 M€ LFI 2023 et 4,8 M€ PLF 2024</t>
    </r>
    <r>
      <rPr>
        <sz val="8"/>
        <rFont val="Arial"/>
        <family val="2"/>
      </rPr>
      <t>)</t>
    </r>
  </si>
  <si>
    <t>ETPT*** (LFI 2025)</t>
  </si>
  <si>
    <t>ETPT*** (PLF2026)</t>
  </si>
  <si>
    <t>EPCCSL - Établissement public Cité de la céramique - Sèvres et Limoges : cf. Manufactures nationales, Mobilier-Sèvres</t>
  </si>
  <si>
    <t>Mobilier national : établissement public créé en décembre 2021 : Manufactures nationales, Mobilier-Sèvres</t>
  </si>
  <si>
    <t>Pass culture</t>
  </si>
  <si>
    <r>
      <t xml:space="preserve">Programme 361 - Transmission des savoirs et démocratisation de la culture </t>
    </r>
    <r>
      <rPr>
        <sz val="8"/>
        <rFont val="Arial"/>
        <family val="2"/>
      </rPr>
      <t xml:space="preserve"> (</t>
    </r>
    <r>
      <rPr>
        <sz val="8"/>
        <color rgb="FFFF0000"/>
        <rFont val="Arial"/>
        <family val="2"/>
      </rPr>
      <t>y compris programme 192 Recherche et enseignement supérieur en matière économique et industrielle : 1,963 M€, PLF 2024</t>
    </r>
    <r>
      <rPr>
        <sz val="8"/>
        <rFont val="Arial"/>
        <family val="2"/>
      </rPr>
      <t>)</t>
    </r>
    <r>
      <rPr>
        <b/>
        <sz val="8"/>
        <rFont val="Arial"/>
        <family val="2"/>
      </rPr>
      <t xml:space="preserve"> </t>
    </r>
    <r>
      <rPr>
        <b/>
        <sz val="8"/>
        <color theme="8"/>
        <rFont val="Arial"/>
        <family val="2"/>
      </rPr>
      <t>y compris crédits du programme 150 Autres opérateurs d'enseignement supérieur et de recherche : 0,3 M€ 2025 et 0,5 M€ en 2026 et du programme 231 Réseau des oeuvres universitaires et scolaires : 0,8 M€</t>
    </r>
  </si>
  <si>
    <r>
      <t>Programme 131 - Création</t>
    </r>
    <r>
      <rPr>
        <sz val="8"/>
        <rFont val="Arial"/>
        <family val="2"/>
      </rPr>
      <t xml:space="preserve"> (</t>
    </r>
    <r>
      <rPr>
        <sz val="8"/>
        <color rgb="FF0070C0"/>
        <rFont val="Arial"/>
        <family val="2"/>
      </rPr>
      <t>y compris programme 175 : 0,8 M€, Académie de France; programme 361 : 1,6 M€, EPPGHV</t>
    </r>
    <r>
      <rPr>
        <sz val="8"/>
        <color rgb="FFFF0000"/>
        <rFont val="Arial"/>
        <family val="2"/>
      </rPr>
      <t xml:space="preserve"> </t>
    </r>
    <r>
      <rPr>
        <sz val="8"/>
        <rFont val="Arial"/>
        <family val="2"/>
      </rPr>
      <t>)</t>
    </r>
  </si>
  <si>
    <t>Éducation nationale et Jeunesse (et sports pour 2020 et 2021, puis 2024 et suiv.)</t>
  </si>
  <si>
    <r>
      <t xml:space="preserve">Sports </t>
    </r>
    <r>
      <rPr>
        <i/>
        <sz val="8"/>
        <rFont val="Arial"/>
        <family val="2"/>
      </rPr>
      <t>(dont</t>
    </r>
    <r>
      <rPr>
        <sz val="8"/>
        <rFont val="Arial"/>
        <family val="2"/>
      </rPr>
      <t xml:space="preserve"> Sports pour 2020 et 2021, 2024 et suiv.) et des Jeux Olympiques et Paralympiques (2022 et 2023)</t>
    </r>
  </si>
  <si>
    <t>2026/2025</t>
  </si>
  <si>
    <t>PLF
/ LFI</t>
  </si>
  <si>
    <t>2024 (exec.) - 2025 (lfi)</t>
  </si>
  <si>
    <t>évolution</t>
  </si>
  <si>
    <t>2025 (lfi)-2026 (plf)</t>
  </si>
  <si>
    <t>2023 (lfi)-2024 (plf)</t>
  </si>
  <si>
    <t>Graphique 2 – Evolution des dépenses culturelles publiques*, de 2014 à 2023 (et 2024 à 2026 pour l'Etat)</t>
  </si>
  <si>
    <t>Millions d’euros constants 2023 et millions d’euros courants pour 2024 à 2026</t>
  </si>
  <si>
    <t>Evolution des dépenses culturelles publiques*, de 2014 à 2023 (et 2024 à 2026 pour l'Etat)</t>
  </si>
  <si>
    <r>
      <t xml:space="preserve">    Taxe sur les entrées en salles de cinéma (TSA) : </t>
    </r>
    <r>
      <rPr>
        <i/>
        <sz val="8"/>
        <color rgb="FF0070C0"/>
        <rFont val="Arial"/>
        <family val="2"/>
      </rPr>
      <t>taxe sur les spectacles cinématographiques (ex-TSA)</t>
    </r>
  </si>
  <si>
    <r>
      <t>Tableau 6 : Redevances et taxes fiscales affectées au financement de la culture et de la communication, 2019</t>
    </r>
    <r>
      <rPr>
        <b/>
        <sz val="8"/>
        <color theme="8"/>
        <rFont val="Arial"/>
        <family val="2"/>
      </rPr>
      <t>-2026</t>
    </r>
  </si>
  <si>
    <r>
      <t xml:space="preserve">    Cotisation des entreprises cinématographiques: </t>
    </r>
    <r>
      <rPr>
        <i/>
        <sz val="8"/>
        <color theme="8"/>
        <rFont val="Arial"/>
        <family val="2"/>
      </rPr>
      <t>taxes exploitant, producteur et distributeur</t>
    </r>
  </si>
  <si>
    <r>
      <t xml:space="preserve">    Taxe sur les services de télévision : </t>
    </r>
    <r>
      <rPr>
        <i/>
        <sz val="8"/>
        <color rgb="FF0070C0"/>
        <rFont val="Arial"/>
        <family val="2"/>
      </rPr>
      <t>taxes sur la publicité et taxe sur les services de télévision</t>
    </r>
  </si>
  <si>
    <t>euros constants 2023</t>
  </si>
  <si>
    <t>MC</t>
  </si>
  <si>
    <t>2025-2024</t>
  </si>
  <si>
    <t>2026-2025</t>
  </si>
  <si>
    <t>2024-2023</t>
  </si>
  <si>
    <t>LFI - exec</t>
  </si>
  <si>
    <t>PLF - LFI</t>
  </si>
  <si>
    <t>LFI - LFI</t>
  </si>
  <si>
    <r>
      <t>dont :dépenses de personnel ("Titre 2") : 9 157 ETPT</t>
    </r>
    <r>
      <rPr>
        <i/>
        <vertAlign val="superscript"/>
        <sz val="8"/>
        <rFont val="Arial"/>
        <family val="2"/>
      </rPr>
      <t>(3)</t>
    </r>
    <r>
      <rPr>
        <i/>
        <sz val="8"/>
        <rFont val="Arial"/>
        <family val="2"/>
      </rPr>
      <t xml:space="preserve"> en 2025 (contre 8 959 en 2023 et 9163 en 2024)</t>
    </r>
  </si>
  <si>
    <r>
      <rPr>
        <vertAlign val="superscript"/>
        <sz val="8"/>
        <rFont val="Arial"/>
        <family val="2"/>
      </rPr>
      <t>(3)</t>
    </r>
    <r>
      <rPr>
        <sz val="8"/>
        <rFont val="Arial"/>
        <family val="2"/>
      </rPr>
      <t xml:space="preserve"> Equivalents temps plein travaillés, ne comprend pas les ETPT rémunérés par les opérateurs (17 346 en 2025, 17 160 en 2024 et 17 239 en 2023)</t>
    </r>
  </si>
  <si>
    <r>
      <t xml:space="preserve">Rmn-GP - Etablissement public de la Réunion des musées nationaux et du Grand Palais des Champs-Élysées </t>
    </r>
    <r>
      <rPr>
        <vertAlign val="superscript"/>
        <sz val="8"/>
        <rFont val="Arial"/>
        <family val="2"/>
      </rPr>
      <t>(c)</t>
    </r>
  </si>
  <si>
    <t>Etablissement public du musée du Quai Branly</t>
  </si>
  <si>
    <t>Programme 175 - Patrimoines</t>
  </si>
  <si>
    <t>Programme 131 - Création</t>
  </si>
  <si>
    <t>Mobilier national : établissement public créé en décembre 2021 : Manufactures nationales, Mobilier-Sèvres (EPCCSL - Établissement public Cité de la céramique - Sèvres et Limoges)</t>
  </si>
  <si>
    <t>EPPD - Établissement public du palais de la porte Dorée</t>
  </si>
  <si>
    <t xml:space="preserve">Programme 361 - Transmission des savoirs et démocratisation de la culture </t>
  </si>
  <si>
    <t>Programme</t>
  </si>
  <si>
    <t>Opérateur</t>
  </si>
  <si>
    <t>ETPT total</t>
  </si>
  <si>
    <t>20 établissements</t>
  </si>
  <si>
    <t>7 établissements</t>
  </si>
  <si>
    <r>
      <t>Ecoles nationales supérieures d'art en région (7 établissements)</t>
    </r>
    <r>
      <rPr>
        <b/>
        <vertAlign val="superscript"/>
        <sz val="8"/>
        <rFont val="Arial"/>
        <family val="2"/>
      </rPr>
      <t xml:space="preserve"> (h)</t>
    </r>
  </si>
  <si>
    <r>
      <t xml:space="preserve">Etablissement public du Mont St-Michel </t>
    </r>
    <r>
      <rPr>
        <vertAlign val="superscript"/>
        <sz val="8"/>
        <rFont val="Arial"/>
        <family val="2"/>
      </rPr>
      <t>(d)</t>
    </r>
  </si>
  <si>
    <t>Musée</t>
  </si>
  <si>
    <t>Opéra</t>
  </si>
  <si>
    <t>Château-Musée</t>
  </si>
  <si>
    <t>Ecole</t>
  </si>
  <si>
    <t>Bibliothèque</t>
  </si>
  <si>
    <t>Autre</t>
  </si>
  <si>
    <t>Théâtre</t>
  </si>
  <si>
    <t>Musée - Aquarium</t>
  </si>
  <si>
    <t>Orchestre</t>
  </si>
  <si>
    <t>Monument</t>
  </si>
  <si>
    <t>Autre opérateur</t>
  </si>
  <si>
    <t>Auditorium - Orchestre - Musée</t>
  </si>
  <si>
    <t>Étiquettes de lignes</t>
  </si>
  <si>
    <t>Total général</t>
  </si>
  <si>
    <t>Type d'établissement</t>
  </si>
  <si>
    <t>ETPT</t>
  </si>
  <si>
    <t>Somme de ETPT</t>
  </si>
  <si>
    <t>Nombre de Type d'établissement</t>
  </si>
  <si>
    <t>Nombre</t>
  </si>
  <si>
    <t>NB : Le périmètre des dépenses fiscales du ministère de la Culture a fait l’objet de récents ajustements dont l’intégration complète a été réalisée dans les documents budgétaires pour l’année 2021. le rattachemùent de certaines mesures aux différents programmes budgétaires a également pu changer en 2022.</t>
  </si>
  <si>
    <t>Patrimoines *</t>
  </si>
  <si>
    <t>Création **</t>
  </si>
  <si>
    <r>
      <t xml:space="preserve">** L'évolution notable du chiffrage des dépenses fiscales rattachées au programme Création s'explique par la prise en compte des mesures 730230 et 730231 : taux de 10% applicable aux foires, salons, expositions autorisés, jeux et manèges forains et visite de parcs à décors animés et taux de 5,5% applicable aux théâtres, cirques, concerts, spectacles de variété, sur les droits d’entrée dans les salles de cinéma et des parcs zoologiques. Les montants estimés des dépenses fiscales liées à ces deux mesures s’élèvent à, respectivement, 285 M€ et 490 M€ en 2021. Ces chiffrages ont été rétrospectivement estimés pour 2020 et 2019. </t>
    </r>
    <r>
      <rPr>
        <sz val="8"/>
        <color rgb="FF0070C0"/>
        <rFont val="Arial"/>
        <family val="2"/>
      </rPr>
      <t>En 2024, les montants s'élèvent, respectivement, à 225 M€ et 315 M€.</t>
    </r>
  </si>
  <si>
    <t>Presse et médias***</t>
  </si>
  <si>
    <t>*** Le chiffrage de la mesure n°730233 : taux de 10% applicable aux abonnements souscrits pour recevoir des services de télévision, a été intégré pour un montant estimé de 320 millions d’euros, rattachés au programme Presse et médias.</t>
  </si>
  <si>
    <t>* Les dépenses fiscales en faveur du patrimoine ont fait l'objet de nouveaux chiffrages pour les mesures n°130302 (imputation du déficit foncier sur le revenu global pour les immeubles classés ou inscrits au titre des monuments historiques ou labellisés Fondation du Patrimoine : +20 M€) et n°150403 (exonération de taxe sur la vente aux Musées de France, aux archives et bibliothèques de l'Etat ou des collectivités territoriales [ou autre personne publique], d'antiquités, d'objets d'art ou de collection ou de bijoux : +5 M€)</t>
  </si>
  <si>
    <t>Centre National de la Cinématographie (CNC)****</t>
  </si>
  <si>
    <t>485***</t>
  </si>
  <si>
    <t>Part du total
yc min. cult.</t>
  </si>
  <si>
    <t>Part du total
hors min. cult.</t>
  </si>
  <si>
    <r>
      <t xml:space="preserve">subventions pour charge de service public et pour charges d'investissement, et dotations en fonds propres inscrites dans </t>
    </r>
    <r>
      <rPr>
        <b/>
        <sz val="8"/>
        <color rgb="FF0070C0"/>
        <rFont val="Arial"/>
        <family val="2"/>
      </rPr>
      <t>la loi de finances intiale pour</t>
    </r>
    <r>
      <rPr>
        <b/>
        <sz val="8"/>
        <color rgb="FFFF0000"/>
        <rFont val="Arial"/>
        <family val="2"/>
      </rPr>
      <t xml:space="preserve"> </t>
    </r>
    <r>
      <rPr>
        <b/>
        <sz val="8"/>
        <rFont val="Arial"/>
        <family val="2"/>
      </rPr>
      <t xml:space="preserve">2020 à 2023 et </t>
    </r>
    <r>
      <rPr>
        <b/>
        <sz val="8"/>
        <color theme="8"/>
        <rFont val="Arial"/>
        <family val="2"/>
      </rPr>
      <t>2025, en projet de loi de finances 2024 et 2026*</t>
    </r>
  </si>
  <si>
    <t>Crédits du budget général et budgets annexes des autres ministères (crédits exécutés jusqu'en 2022, LFI pour 2023 et plf pour 2024)**</t>
  </si>
  <si>
    <t>Budget du ministère de la Culture (crédits exécutés jusqu'en 2023, LFI 2024)*</t>
  </si>
  <si>
    <t>exec</t>
  </si>
  <si>
    <t>lfi</t>
  </si>
  <si>
    <t>plf</t>
  </si>
  <si>
    <t>MC euros constants 2023</t>
  </si>
  <si>
    <t>Au min € csts 2023</t>
  </si>
  <si>
    <t>** Les dépenses de fonctionnement consolidées des départements ont été redressées pour les dépenses de personnel  (archives et bibliothèques départementales)</t>
  </si>
  <si>
    <t>**** Quatre mesures fiscales étaient rattachées au programme transmission et démocratisation de la mission culture avant d'être rattachées au programme Livre et Industries Culturelles de la mission Médias : ces mesures concernent en effet les crédits d'impôt pour la production d'oeuvres cinématographiques et audiovisuelles  (au total 300 M€ en 2020, pour les mesures n° 320121, 320129 et 320140), à quoi s'ajoutent les réductions d'impôt pour les souscriptions au capital de sociétés de financement d'oeuvres dans ces secteurs (30 M€ en 2020). Ces crédits ont ensuite été isolés dans une ligne CNC puis intégrés à la ligne du programme Livre et industries culturelles (à partir de 2022)</t>
  </si>
  <si>
    <t>Tableau 3 : Crédits du budget général des autres ministères et budgets annexes affectés à la culture et à la communication, 2019-2025 (et 2026 pour le PLF)</t>
  </si>
  <si>
    <t>Tableau 5 : Dépenses fiscales en matière de culture et de communication, 2019-2024 et en 2025 et 2026 pour le PLF</t>
  </si>
  <si>
    <t>Tableau 1 : Budget du ministère de la Culture, 2019 - 2025 (et 2026 pour le PLF)</t>
  </si>
  <si>
    <r>
      <t xml:space="preserve">Crédits du budget général des autres ministères et budgets annexes 
(crédits exécutés jusqu'en 2024, LFI pour </t>
    </r>
    <r>
      <rPr>
        <sz val="8"/>
        <color rgb="FF0070C0"/>
        <rFont val="Arial"/>
        <family val="2"/>
      </rPr>
      <t>2025 et PLF 2026</t>
    </r>
    <r>
      <rPr>
        <sz val="8"/>
        <rFont val="Arial"/>
        <family val="2"/>
      </rPr>
      <t>)</t>
    </r>
  </si>
  <si>
    <r>
      <t xml:space="preserve">Budget du ministère de la Culture (crédits exécutés jusqu'en 2024, LFI </t>
    </r>
    <r>
      <rPr>
        <sz val="8"/>
        <color rgb="FF0070C0"/>
        <rFont val="Arial"/>
        <family val="2"/>
      </rPr>
      <t>2025, PLF 2026</t>
    </r>
    <r>
      <rPr>
        <sz val="8"/>
        <rFont val="Arial"/>
        <family val="2"/>
      </rPr>
      <t>)</t>
    </r>
  </si>
  <si>
    <t>2026/2026</t>
  </si>
  <si>
    <t>1 à 4 sur 4</t>
  </si>
  <si>
    <t>Ventilation de la mission Culture de l’État</t>
  </si>
  <si>
    <t>Exécuté 2021 (M€)</t>
  </si>
  <si>
    <t>Exécuté 2022 (M€)</t>
  </si>
  <si>
    <t>Exécuté 2023 (M€)</t>
  </si>
  <si>
    <t>Exécuté 2024 (M€)</t>
  </si>
  <si>
    <t>Exécuté 2025 (M€)</t>
  </si>
  <si>
    <t>LFI 2026 (M€)</t>
  </si>
  <si>
    <t>Variation 2025-2026 (%)</t>
  </si>
  <si>
    <t>175 - Patrimoines</t>
  </si>
  <si>
    <t>1 012</t>
  </si>
  <si>
    <t>1 022</t>
  </si>
  <si>
    <t>1 100</t>
  </si>
  <si>
    <t>1 194</t>
  </si>
  <si>
    <t>1 251</t>
  </si>
  <si>
    <t>1 137</t>
  </si>
  <si>
    <t>-9,1 %</t>
  </si>
  <si>
    <t>131 - Création</t>
  </si>
  <si>
    <t>1 006</t>
  </si>
  <si>
    <t>1 043</t>
  </si>
  <si>
    <t>-4,3 %</t>
  </si>
  <si>
    <t>361 - Transmission des savoirs et démocratisation de la culture</t>
  </si>
  <si>
    <t>-2,5 %</t>
  </si>
  <si>
    <t>224 - Soutien aux politiques culturelles / Dépenses de personnels</t>
  </si>
  <si>
    <t>0,8 %</t>
  </si>
  <si>
    <t>3 270</t>
  </si>
  <si>
    <t>3 521</t>
  </si>
  <si>
    <t>3 711</t>
  </si>
  <si>
    <t>2023 (exec.) - 2024 (lfi)</t>
  </si>
  <si>
    <t xml:space="preserve">    Taxe sur la diffusion en ligne d'enregistrements phonographiques musicaux ou de vidéomusiques</t>
  </si>
  <si>
    <r>
      <t xml:space="preserve">  Centre national de la musique (CNM) </t>
    </r>
    <r>
      <rPr>
        <b/>
        <vertAlign val="superscript"/>
        <sz val="8"/>
        <rFont val="Arial"/>
        <family val="2"/>
      </rPr>
      <t>(b)</t>
    </r>
  </si>
  <si>
    <r>
      <t>Avances à l'audiovisuel public</t>
    </r>
    <r>
      <rPr>
        <b/>
        <vertAlign val="superscript"/>
        <sz val="8"/>
        <rFont val="Arial"/>
        <family val="2"/>
      </rPr>
      <t xml:space="preserve"> (a) </t>
    </r>
  </si>
  <si>
    <r>
      <rPr>
        <vertAlign val="superscript"/>
        <sz val="8"/>
        <rFont val="Arial"/>
        <family val="2"/>
      </rPr>
      <t>(a)</t>
    </r>
    <r>
      <rPr>
        <sz val="8"/>
        <rFont val="Arial"/>
        <family val="2"/>
      </rPr>
      <t xml:space="preserve"> La redevance audiovisuelle a été suprimée en 2022, le compte de concours financiers est désormais alimenté par une fraction du produit de la TVA</t>
    </r>
  </si>
  <si>
    <r>
      <rPr>
        <vertAlign val="superscript"/>
        <sz val="8"/>
        <rFont val="Arial"/>
        <family val="2"/>
      </rPr>
      <t>(b)</t>
    </r>
    <r>
      <rPr>
        <sz val="8"/>
        <rFont val="Arial"/>
        <family val="2"/>
      </rPr>
      <t xml:space="preserve"> Le CNM s’est substitué au Centre national de la chanson, des variétés et du jazz (CNV), et bénéficie à ce titre du produit de la taxe sur les spectacles de variétés prévue à l'article 76 de la loi de finances rectificative pour 2003 (n° 2003-1312 du 30 décembre 2003) perçue au titre des spectacles de variétés, précédemment collectée par le CNV.
</t>
    </r>
  </si>
  <si>
    <t xml:space="preserve">    Taxes sur les spectacles de variétés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</si>
</sst>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0_ ;[Red]\-0\ "/>
    <numFmt numFmtId="168" formatCode="\ * #,##0&quot;    &quot;;\-* #,##0&quot;    &quot;;\ * \-#&quot;    &quot;;@\ "/>
  </numFmts>
  <fonts count="72" x14ac:knownFonts="1">
    <font>
      <sz val="10"/>
      <name val="Arial"/>
      <family val="2"/>
    </font>
    <font>
      <sz val="11"/>
      <color theme="1"/>
      <name val="Calibri"/>
      <family val="2"/>
      <scheme val="minor"/>
    </font>
    <font>
      <sz val="11"/>
      <color theme="1"/>
      <name val="Calibri"/>
      <family val="2"/>
      <scheme val="minor"/>
    </font>
    <font>
      <b/>
      <sz val="8"/>
      <name val="Arial"/>
      <family val="2"/>
    </font>
    <font>
      <i/>
      <sz val="8"/>
      <name val="Arial"/>
      <family val="2"/>
    </font>
    <font>
      <sz val="8"/>
      <name val="Arial"/>
      <family val="2"/>
    </font>
    <font>
      <sz val="10"/>
      <name val="Arial"/>
      <family val="2"/>
    </font>
    <font>
      <sz val="10"/>
      <name val="Arial"/>
      <family val="2"/>
    </font>
    <font>
      <sz val="11"/>
      <color theme="1"/>
      <name val="Calibri"/>
      <family val="2"/>
      <scheme val="minor"/>
    </font>
    <font>
      <u/>
      <sz val="10"/>
      <color theme="10"/>
      <name val="Arial"/>
      <family val="2"/>
    </font>
    <font>
      <sz val="8"/>
      <color rgb="FF000000"/>
      <name val="Arial"/>
      <family val="2"/>
    </font>
    <font>
      <i/>
      <sz val="8"/>
      <color theme="1"/>
      <name val="Arial"/>
      <family val="2"/>
    </font>
    <font>
      <b/>
      <sz val="8"/>
      <color rgb="FF000000"/>
      <name val="Arial"/>
      <family val="2"/>
    </font>
    <font>
      <i/>
      <sz val="8"/>
      <color rgb="FF000000"/>
      <name val="Tahoma"/>
      <family val="2"/>
    </font>
    <font>
      <b/>
      <sz val="8"/>
      <color rgb="FF0000FF"/>
      <name val="Arial"/>
      <family val="2"/>
    </font>
    <font>
      <sz val="8"/>
      <color theme="1"/>
      <name val="Arial"/>
      <family val="2"/>
    </font>
    <font>
      <sz val="11"/>
      <color rgb="FFFF0000"/>
      <name val="Calibri"/>
      <family val="2"/>
      <scheme val="minor"/>
    </font>
    <font>
      <b/>
      <sz val="8"/>
      <color rgb="FF0070C0"/>
      <name val="Arial"/>
      <family val="2"/>
    </font>
    <font>
      <sz val="8"/>
      <color rgb="FF0070C0"/>
      <name val="Arial"/>
      <family val="2"/>
    </font>
    <font>
      <i/>
      <sz val="8"/>
      <color rgb="FF0070C0"/>
      <name val="Arial"/>
      <family val="2"/>
    </font>
    <font>
      <sz val="8"/>
      <color rgb="FF00B050"/>
      <name val="Arial"/>
      <family val="2"/>
    </font>
    <font>
      <b/>
      <sz val="11"/>
      <color theme="1"/>
      <name val="Calibri"/>
      <family val="2"/>
      <scheme val="minor"/>
    </font>
    <font>
      <sz val="10"/>
      <color rgb="FFFF0000"/>
      <name val="Arial"/>
      <family val="2"/>
    </font>
    <font>
      <b/>
      <sz val="8"/>
      <color theme="1"/>
      <name val="Arial"/>
      <family val="2"/>
    </font>
    <font>
      <sz val="8"/>
      <color rgb="FFFF0000"/>
      <name val="Arial"/>
      <family val="2"/>
    </font>
    <font>
      <b/>
      <sz val="8"/>
      <color rgb="FF00B050"/>
      <name val="Arial"/>
      <family val="2"/>
    </font>
    <font>
      <sz val="8"/>
      <color theme="2" tint="-9.9978637043366805E-2"/>
      <name val="Arial"/>
      <family val="2"/>
    </font>
    <font>
      <b/>
      <sz val="8"/>
      <color rgb="FFFF0000"/>
      <name val="Arial"/>
      <family val="2"/>
    </font>
    <font>
      <i/>
      <sz val="8"/>
      <color theme="2" tint="-0.499984740745262"/>
      <name val="Arial"/>
      <family val="2"/>
    </font>
    <font>
      <sz val="9"/>
      <color indexed="81"/>
      <name val="Tahoma"/>
      <family val="2"/>
    </font>
    <font>
      <b/>
      <sz val="9"/>
      <color indexed="81"/>
      <name val="Tahoma"/>
      <family val="2"/>
    </font>
    <font>
      <u/>
      <sz val="8"/>
      <color theme="10"/>
      <name val="Arial"/>
      <family val="2"/>
    </font>
    <font>
      <i/>
      <sz val="8"/>
      <color rgb="FFFF0000"/>
      <name val="Arial"/>
      <family val="2"/>
    </font>
    <font>
      <b/>
      <i/>
      <sz val="8"/>
      <name val="Arial"/>
      <family val="2"/>
    </font>
    <font>
      <b/>
      <sz val="8"/>
      <color theme="8"/>
      <name val="Arial"/>
      <family val="2"/>
    </font>
    <font>
      <sz val="8"/>
      <color theme="8"/>
      <name val="Arial"/>
      <family val="2"/>
    </font>
    <font>
      <b/>
      <sz val="11"/>
      <name val="Calibri"/>
      <family val="2"/>
      <scheme val="minor"/>
    </font>
    <font>
      <i/>
      <sz val="8"/>
      <name val="Tahoma"/>
      <family val="2"/>
    </font>
    <font>
      <b/>
      <sz val="8"/>
      <color theme="9"/>
      <name val="Arial"/>
      <family val="2"/>
    </font>
    <font>
      <sz val="8"/>
      <color theme="9"/>
      <name val="Arial"/>
      <family val="2"/>
    </font>
    <font>
      <sz val="11"/>
      <name val="Calibri"/>
      <family val="2"/>
      <scheme val="minor"/>
    </font>
    <font>
      <b/>
      <sz val="10"/>
      <name val="Arial"/>
      <family val="2"/>
    </font>
    <font>
      <i/>
      <sz val="10"/>
      <name val="Arial"/>
      <family val="2"/>
    </font>
    <font>
      <b/>
      <sz val="18"/>
      <name val="Arial"/>
      <family val="2"/>
    </font>
    <font>
      <b/>
      <sz val="10"/>
      <color rgb="FFFF0000"/>
      <name val="Arial"/>
      <family val="2"/>
    </font>
    <font>
      <b/>
      <sz val="10"/>
      <color rgb="FF7030A0"/>
      <name val="Arial"/>
      <family val="2"/>
    </font>
    <font>
      <vertAlign val="superscript"/>
      <sz val="8"/>
      <name val="Arial"/>
      <family val="2"/>
    </font>
    <font>
      <sz val="10"/>
      <color theme="5" tint="-0.249977111117893"/>
      <name val="Arial"/>
      <family val="2"/>
    </font>
    <font>
      <i/>
      <sz val="8"/>
      <color theme="9"/>
      <name val="Arial"/>
      <family val="2"/>
    </font>
    <font>
      <i/>
      <sz val="8"/>
      <color rgb="FF0070C0"/>
      <name val="Tahoma"/>
      <family val="2"/>
    </font>
    <font>
      <b/>
      <sz val="8"/>
      <color theme="5" tint="-0.499984740745262"/>
      <name val="Arial"/>
      <family val="2"/>
    </font>
    <font>
      <b/>
      <i/>
      <sz val="8"/>
      <color rgb="FFFF0000"/>
      <name val="Arial"/>
      <family val="2"/>
    </font>
    <font>
      <i/>
      <vertAlign val="superscript"/>
      <sz val="8"/>
      <name val="Arial"/>
      <family val="2"/>
    </font>
    <font>
      <b/>
      <vertAlign val="superscript"/>
      <sz val="8"/>
      <name val="Arial"/>
      <family val="2"/>
    </font>
    <font>
      <b/>
      <sz val="8"/>
      <color theme="5" tint="-0.249977111117893"/>
      <name val="Arial"/>
      <family val="2"/>
    </font>
    <font>
      <sz val="8"/>
      <color theme="5" tint="-0.249977111117893"/>
      <name val="Arial"/>
      <family val="2"/>
    </font>
    <font>
      <i/>
      <sz val="8"/>
      <color theme="5" tint="-0.249977111117893"/>
      <name val="Arial"/>
      <family val="2"/>
    </font>
    <font>
      <sz val="8"/>
      <color theme="9" tint="-0.249977111117893"/>
      <name val="Arial"/>
      <family val="2"/>
    </font>
    <font>
      <i/>
      <sz val="8"/>
      <color theme="9" tint="-0.249977111117893"/>
      <name val="Arial"/>
      <family val="2"/>
    </font>
    <font>
      <b/>
      <sz val="8"/>
      <color theme="9" tint="-0.249977111117893"/>
      <name val="Arial"/>
      <family val="2"/>
    </font>
    <font>
      <sz val="11"/>
      <color indexed="8"/>
      <name val="Calibri"/>
      <family val="2"/>
      <charset val="1"/>
    </font>
    <font>
      <sz val="6"/>
      <name val="Arial"/>
      <family val="2"/>
    </font>
    <font>
      <i/>
      <sz val="8"/>
      <color theme="8"/>
      <name val="Arial"/>
      <family val="2"/>
    </font>
    <font>
      <u/>
      <sz val="8"/>
      <name val="Arial"/>
      <family val="2"/>
    </font>
    <font>
      <u/>
      <sz val="8"/>
      <color rgb="FFFF0000"/>
      <name val="Arial"/>
      <family val="2"/>
    </font>
    <font>
      <b/>
      <sz val="8"/>
      <color theme="5"/>
      <name val="Arial"/>
      <family val="2"/>
    </font>
    <font>
      <sz val="8"/>
      <color theme="5"/>
      <name val="Arial"/>
      <family val="2"/>
    </font>
    <font>
      <i/>
      <sz val="8"/>
      <color theme="5"/>
      <name val="Arial"/>
      <family val="2"/>
    </font>
    <font>
      <sz val="8"/>
      <color indexed="8"/>
      <name val="Arial"/>
      <family val="2"/>
    </font>
    <font>
      <sz val="8"/>
      <color rgb="FF7030A0"/>
      <name val="Arial"/>
      <family val="2"/>
    </font>
    <font>
      <b/>
      <sz val="8"/>
      <color rgb="FF7030A0"/>
      <name val="Arial"/>
      <family val="2"/>
    </font>
    <font>
      <i/>
      <sz val="8"/>
      <color rgb="FF7030A0"/>
      <name val="Arial"/>
      <family val="2"/>
    </font>
  </fonts>
  <fills count="11">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tint="0.79998168889431442"/>
        <bgColor indexed="64"/>
      </patternFill>
    </fill>
  </fills>
  <borders count="30">
    <border>
      <left/>
      <right/>
      <top/>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top style="thin">
        <color rgb="FF000000"/>
      </top>
      <bottom style="thin">
        <color rgb="FF000000"/>
      </bottom>
      <diagonal/>
    </border>
    <border>
      <left/>
      <right/>
      <top/>
      <bottom style="thin">
        <color rgb="FF000000"/>
      </bottom>
      <diagonal/>
    </border>
    <border>
      <left style="thin">
        <color indexed="64"/>
      </left>
      <right/>
      <top/>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style="thin">
        <color indexed="64"/>
      </left>
      <right style="thin">
        <color indexed="64"/>
      </right>
      <top/>
      <bottom/>
      <diagonal/>
    </border>
    <border>
      <left/>
      <right/>
      <top/>
      <bottom style="dotted">
        <color auto="1"/>
      </bottom>
      <diagonal/>
    </border>
    <border>
      <left/>
      <right style="thin">
        <color indexed="64"/>
      </right>
      <top/>
      <bottom style="dotted">
        <color auto="1"/>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0" fontId="9" fillId="0" borderId="0" applyNumberFormat="0" applyFill="0" applyBorder="0" applyAlignment="0" applyProtection="0"/>
    <xf numFmtId="0" fontId="8" fillId="0" borderId="0"/>
    <xf numFmtId="0" fontId="8" fillId="0" borderId="0"/>
    <xf numFmtId="0" fontId="8" fillId="0" borderId="0"/>
    <xf numFmtId="0" fontId="6" fillId="0" borderId="0"/>
    <xf numFmtId="9" fontId="6" fillId="0" borderId="0" applyBorder="0" applyAlignment="0" applyProtection="0"/>
    <xf numFmtId="9" fontId="7" fillId="0" borderId="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2" fillId="0" borderId="0"/>
    <xf numFmtId="9" fontId="6" fillId="0" borderId="0" applyBorder="0" applyAlignment="0" applyProtection="0"/>
    <xf numFmtId="9" fontId="2" fillId="0" borderId="0" applyFont="0" applyFill="0" applyBorder="0" applyAlignment="0" applyProtection="0"/>
    <xf numFmtId="0" fontId="60" fillId="0" borderId="0"/>
    <xf numFmtId="9" fontId="1" fillId="0" borderId="0" applyFont="0" applyFill="0" applyBorder="0" applyAlignment="0" applyProtection="0"/>
    <xf numFmtId="0" fontId="1" fillId="0" borderId="0"/>
  </cellStyleXfs>
  <cellXfs count="1116">
    <xf numFmtId="0" fontId="0" fillId="0" borderId="0" xfId="0"/>
    <xf numFmtId="0" fontId="3" fillId="0" borderId="0" xfId="0" applyFont="1"/>
    <xf numFmtId="0" fontId="4" fillId="0" borderId="0" xfId="0" applyFont="1" applyAlignment="1">
      <alignment horizontal="right"/>
    </xf>
    <xf numFmtId="0" fontId="5" fillId="0" borderId="0" xfId="0" applyFont="1"/>
    <xf numFmtId="0" fontId="11" fillId="0" borderId="0" xfId="2" applyFont="1" applyBorder="1" applyAlignment="1">
      <alignment horizontal="justify" vertical="center" wrapText="1"/>
    </xf>
    <xf numFmtId="0" fontId="5" fillId="0" borderId="0" xfId="0" applyFont="1" applyBorder="1"/>
    <xf numFmtId="0" fontId="3" fillId="0" borderId="0" xfId="0" applyFont="1" applyAlignment="1">
      <alignment horizontal="center"/>
    </xf>
    <xf numFmtId="0" fontId="3" fillId="0" borderId="1" xfId="0" applyFont="1" applyBorder="1" applyAlignment="1">
      <alignment horizontal="center" vertical="center" wrapText="1"/>
    </xf>
    <xf numFmtId="0" fontId="5" fillId="0" borderId="0" xfId="10" applyFont="1"/>
    <xf numFmtId="164" fontId="5" fillId="0" borderId="0" xfId="10" applyNumberFormat="1" applyFont="1"/>
    <xf numFmtId="0" fontId="5" fillId="0" borderId="0" xfId="10" applyFont="1" applyBorder="1"/>
    <xf numFmtId="164" fontId="5" fillId="0" borderId="0" xfId="10" applyNumberFormat="1" applyFont="1" applyBorder="1"/>
    <xf numFmtId="0" fontId="5" fillId="0" borderId="2" xfId="0" applyFont="1" applyBorder="1"/>
    <xf numFmtId="0" fontId="12" fillId="0" borderId="3" xfId="0" applyFont="1" applyBorder="1" applyAlignment="1">
      <alignment horizontal="center"/>
    </xf>
    <xf numFmtId="0" fontId="5" fillId="0" borderId="4" xfId="0" applyFont="1" applyBorder="1"/>
    <xf numFmtId="0" fontId="13" fillId="2" borderId="0" xfId="0" applyFont="1" applyFill="1" applyBorder="1" applyAlignment="1">
      <alignment horizontal="center"/>
    </xf>
    <xf numFmtId="0" fontId="10" fillId="0" borderId="0" xfId="0" applyFont="1" applyBorder="1" applyAlignment="1">
      <alignment horizontal="center"/>
    </xf>
    <xf numFmtId="0" fontId="5" fillId="0" borderId="0" xfId="0" applyFont="1" applyBorder="1" applyAlignment="1">
      <alignment horizontal="center"/>
    </xf>
    <xf numFmtId="0" fontId="3" fillId="0" borderId="5" xfId="0" applyFont="1" applyBorder="1"/>
    <xf numFmtId="3" fontId="12" fillId="0" borderId="1" xfId="0" applyNumberFormat="1" applyFont="1" applyBorder="1" applyAlignment="1">
      <alignment horizontal="center"/>
    </xf>
    <xf numFmtId="0" fontId="3" fillId="0" borderId="0" xfId="10" applyFont="1" applyBorder="1"/>
    <xf numFmtId="165" fontId="5" fillId="0" borderId="0" xfId="10" applyNumberFormat="1" applyFont="1" applyBorder="1"/>
    <xf numFmtId="0" fontId="15" fillId="0" borderId="0" xfId="2" applyFont="1"/>
    <xf numFmtId="3" fontId="5" fillId="0" borderId="0" xfId="0" applyNumberFormat="1" applyFont="1"/>
    <xf numFmtId="0" fontId="4" fillId="0" borderId="0" xfId="0" applyFont="1"/>
    <xf numFmtId="164" fontId="10" fillId="0" borderId="0" xfId="0" applyNumberFormat="1" applyFont="1" applyBorder="1" applyAlignment="1">
      <alignment horizontal="center" vertical="center"/>
    </xf>
    <xf numFmtId="0" fontId="5" fillId="0" borderId="0" xfId="0" applyFont="1" applyFill="1"/>
    <xf numFmtId="165" fontId="5" fillId="0" borderId="0" xfId="0" applyNumberFormat="1" applyFont="1"/>
    <xf numFmtId="0" fontId="10" fillId="0" borderId="0" xfId="0" applyFont="1" applyFill="1"/>
    <xf numFmtId="0" fontId="5" fillId="0" borderId="0" xfId="0" applyFont="1" applyAlignment="1">
      <alignment horizontal="left"/>
    </xf>
    <xf numFmtId="0" fontId="3" fillId="0" borderId="0" xfId="0" applyFont="1" applyAlignment="1">
      <alignment horizontal="center" vertical="center" wrapText="1"/>
    </xf>
    <xf numFmtId="0" fontId="17" fillId="0" borderId="0" xfId="0" applyFont="1"/>
    <xf numFmtId="0" fontId="18" fillId="0" borderId="0" xfId="0" applyFont="1"/>
    <xf numFmtId="0" fontId="20" fillId="0" borderId="0" xfId="0" applyFont="1"/>
    <xf numFmtId="0" fontId="21" fillId="0" borderId="0" xfId="0" applyFont="1"/>
    <xf numFmtId="0" fontId="0" fillId="0" borderId="0" xfId="0" applyAlignment="1">
      <alignment horizontal="center" wrapText="1"/>
    </xf>
    <xf numFmtId="0" fontId="5" fillId="0" borderId="6" xfId="0" applyFont="1" applyBorder="1"/>
    <xf numFmtId="0" fontId="3" fillId="0" borderId="0" xfId="10" applyFont="1" applyAlignment="1">
      <alignment vertical="center"/>
    </xf>
    <xf numFmtId="0" fontId="5" fillId="0" borderId="7" xfId="0" applyFont="1" applyBorder="1"/>
    <xf numFmtId="0" fontId="5" fillId="0" borderId="7" xfId="0" applyFont="1" applyBorder="1" applyAlignment="1">
      <alignment horizontal="center" vertical="center"/>
    </xf>
    <xf numFmtId="0" fontId="3" fillId="0" borderId="8" xfId="0" applyFont="1" applyBorder="1" applyAlignment="1">
      <alignment horizontal="left" vertical="center"/>
    </xf>
    <xf numFmtId="0" fontId="5" fillId="0" borderId="7" xfId="0" applyFont="1" applyBorder="1" applyAlignment="1">
      <alignment horizontal="left" vertical="center"/>
    </xf>
    <xf numFmtId="0" fontId="18" fillId="0" borderId="0" xfId="0" applyFont="1" applyBorder="1" applyAlignment="1">
      <alignment horizontal="center"/>
    </xf>
    <xf numFmtId="3" fontId="21" fillId="0" borderId="0" xfId="0" applyNumberFormat="1" applyFont="1"/>
    <xf numFmtId="0" fontId="3" fillId="0" borderId="0" xfId="0" applyFont="1" applyBorder="1" applyAlignment="1">
      <alignment horizontal="center" vertical="center"/>
    </xf>
    <xf numFmtId="0" fontId="18" fillId="0" borderId="0" xfId="0" applyFont="1" applyAlignment="1">
      <alignment horizontal="center"/>
    </xf>
    <xf numFmtId="3" fontId="3" fillId="0" borderId="6" xfId="0" applyNumberFormat="1" applyFont="1" applyFill="1" applyBorder="1" applyAlignment="1">
      <alignment horizontal="right" vertical="center"/>
    </xf>
    <xf numFmtId="3" fontId="5" fillId="0" borderId="0" xfId="0" applyNumberFormat="1" applyFont="1" applyFill="1" applyAlignment="1">
      <alignment horizontal="right" vertical="center"/>
    </xf>
    <xf numFmtId="3" fontId="3" fillId="0" borderId="0" xfId="0" applyNumberFormat="1" applyFont="1" applyAlignment="1">
      <alignment vertical="center"/>
    </xf>
    <xf numFmtId="3" fontId="5" fillId="0" borderId="0" xfId="10" applyNumberFormat="1" applyFont="1"/>
    <xf numFmtId="3" fontId="5" fillId="0" borderId="6" xfId="0" applyNumberFormat="1" applyFont="1" applyBorder="1"/>
    <xf numFmtId="0" fontId="18" fillId="0" borderId="0" xfId="0" applyFont="1" applyFill="1" applyBorder="1" applyAlignment="1">
      <alignment horizontal="center"/>
    </xf>
    <xf numFmtId="0" fontId="18" fillId="0" borderId="0" xfId="0" quotePrefix="1" applyFont="1" applyAlignment="1">
      <alignment horizontal="left" wrapText="1"/>
    </xf>
    <xf numFmtId="0" fontId="17" fillId="0" borderId="0" xfId="2" applyFont="1"/>
    <xf numFmtId="9" fontId="6" fillId="0" borderId="0" xfId="6"/>
    <xf numFmtId="166" fontId="5" fillId="0" borderId="0" xfId="6" applyNumberFormat="1" applyFont="1"/>
    <xf numFmtId="0" fontId="5" fillId="0" borderId="0" xfId="0" applyFont="1" applyFill="1" applyBorder="1" applyAlignment="1">
      <alignment horizontal="left" indent="1"/>
    </xf>
    <xf numFmtId="0" fontId="5" fillId="0" borderId="0" xfId="0" applyFont="1" applyAlignment="1">
      <alignment horizontal="right"/>
    </xf>
    <xf numFmtId="0" fontId="23" fillId="0" borderId="9" xfId="0" applyFont="1" applyBorder="1"/>
    <xf numFmtId="0" fontId="3" fillId="0" borderId="6" xfId="0" applyFont="1" applyBorder="1" applyAlignment="1">
      <alignment vertical="center"/>
    </xf>
    <xf numFmtId="0" fontId="5" fillId="0" borderId="0" xfId="0" applyFont="1" applyBorder="1" applyAlignment="1">
      <alignment horizontal="left" indent="1"/>
    </xf>
    <xf numFmtId="0" fontId="5" fillId="0" borderId="0" xfId="0" applyFont="1" applyFill="1" applyAlignment="1">
      <alignment horizontal="left" indent="1"/>
    </xf>
    <xf numFmtId="0" fontId="24" fillId="0" borderId="0" xfId="0" applyFont="1"/>
    <xf numFmtId="0" fontId="25" fillId="0" borderId="0" xfId="0" applyFont="1"/>
    <xf numFmtId="1" fontId="15" fillId="0" borderId="0" xfId="2" applyNumberFormat="1" applyFont="1"/>
    <xf numFmtId="1" fontId="5" fillId="0" borderId="0" xfId="0" applyNumberFormat="1" applyFont="1"/>
    <xf numFmtId="0" fontId="26" fillId="0" borderId="0" xfId="0" applyFont="1"/>
    <xf numFmtId="0" fontId="27" fillId="0" borderId="0" xfId="0" applyFont="1"/>
    <xf numFmtId="0" fontId="11" fillId="0" borderId="0" xfId="2" applyFont="1"/>
    <xf numFmtId="0" fontId="18" fillId="0" borderId="0" xfId="0" quotePrefix="1" applyFont="1" applyAlignment="1">
      <alignment horizontal="left" wrapText="1"/>
    </xf>
    <xf numFmtId="0" fontId="18" fillId="0" borderId="0" xfId="0" quotePrefix="1" applyFont="1" applyAlignment="1">
      <alignment horizontal="left" vertical="top"/>
    </xf>
    <xf numFmtId="0" fontId="5" fillId="0" borderId="0" xfId="0" applyFont="1" applyAlignment="1">
      <alignment horizontal="center"/>
    </xf>
    <xf numFmtId="0" fontId="5" fillId="0" borderId="0" xfId="0" applyFont="1" applyBorder="1" applyAlignment="1">
      <alignment vertical="center"/>
    </xf>
    <xf numFmtId="0" fontId="5" fillId="0" borderId="0" xfId="0" applyFont="1" applyAlignment="1">
      <alignment horizontal="left" indent="1"/>
    </xf>
    <xf numFmtId="0" fontId="3" fillId="0" borderId="0" xfId="0" applyFont="1" applyFill="1" applyAlignment="1">
      <alignment horizontal="center" vertical="center" wrapText="1"/>
    </xf>
    <xf numFmtId="0" fontId="31" fillId="0" borderId="0" xfId="1" applyFont="1"/>
    <xf numFmtId="164" fontId="27" fillId="0" borderId="0" xfId="0" applyNumberFormat="1" applyFont="1"/>
    <xf numFmtId="3" fontId="33" fillId="0" borderId="0" xfId="0" applyNumberFormat="1" applyFont="1"/>
    <xf numFmtId="3" fontId="3" fillId="0" borderId="6" xfId="0" applyNumberFormat="1" applyFont="1" applyBorder="1"/>
    <xf numFmtId="0" fontId="5" fillId="0" borderId="9" xfId="10" applyFont="1" applyBorder="1"/>
    <xf numFmtId="0" fontId="17" fillId="0" borderId="0" xfId="10" applyFont="1" applyBorder="1" applyAlignment="1">
      <alignment horizontal="left" vertical="center"/>
    </xf>
    <xf numFmtId="0" fontId="4" fillId="0" borderId="0" xfId="0" applyFont="1" applyBorder="1" applyAlignment="1">
      <alignment horizontal="right"/>
    </xf>
    <xf numFmtId="0" fontId="14" fillId="0" borderId="0" xfId="10" applyFont="1" applyBorder="1" applyAlignment="1">
      <alignment horizontal="left" vertical="center" wrapText="1"/>
    </xf>
    <xf numFmtId="0" fontId="4" fillId="0" borderId="0" xfId="10" applyFont="1" applyBorder="1"/>
    <xf numFmtId="0" fontId="3" fillId="0" borderId="0" xfId="10" applyFont="1" applyFill="1" applyBorder="1"/>
    <xf numFmtId="0" fontId="5" fillId="0" borderId="0" xfId="10" applyFont="1" applyFill="1" applyBorder="1"/>
    <xf numFmtId="0" fontId="12" fillId="0" borderId="0" xfId="10" applyFont="1" applyBorder="1" applyAlignment="1">
      <alignment horizontal="left" vertical="center"/>
    </xf>
    <xf numFmtId="3" fontId="3" fillId="0" borderId="0" xfId="0" applyNumberFormat="1" applyFont="1"/>
    <xf numFmtId="10" fontId="28" fillId="0" borderId="0" xfId="0" applyNumberFormat="1" applyFont="1"/>
    <xf numFmtId="0" fontId="18" fillId="0" borderId="7" xfId="0" applyFont="1" applyBorder="1" applyAlignment="1">
      <alignment horizontal="right"/>
    </xf>
    <xf numFmtId="166" fontId="3" fillId="0" borderId="0" xfId="6" applyNumberFormat="1" applyFont="1"/>
    <xf numFmtId="0" fontId="3" fillId="0" borderId="7" xfId="0" applyFont="1" applyBorder="1"/>
    <xf numFmtId="0" fontId="4" fillId="0" borderId="0" xfId="0" applyFont="1" applyBorder="1" applyAlignment="1">
      <alignment horizontal="left" vertical="center"/>
    </xf>
    <xf numFmtId="3" fontId="0" fillId="0" borderId="0" xfId="0" applyNumberFormat="1"/>
    <xf numFmtId="3" fontId="0" fillId="0" borderId="0" xfId="0" applyNumberFormat="1" applyAlignment="1">
      <alignment horizontal="center"/>
    </xf>
    <xf numFmtId="0" fontId="5" fillId="0" borderId="9" xfId="0" applyFont="1" applyBorder="1" applyAlignment="1">
      <alignment horizontal="center"/>
    </xf>
    <xf numFmtId="0" fontId="0" fillId="0" borderId="0" xfId="0" applyFont="1"/>
    <xf numFmtId="0" fontId="5" fillId="0" borderId="0" xfId="0" quotePrefix="1" applyFont="1"/>
    <xf numFmtId="0" fontId="10" fillId="0" borderId="4" xfId="0" applyFont="1" applyBorder="1"/>
    <xf numFmtId="164" fontId="5" fillId="0" borderId="1" xfId="0" applyNumberFormat="1" applyFont="1" applyBorder="1" applyAlignment="1">
      <alignment horizontal="center" vertical="center"/>
    </xf>
    <xf numFmtId="0" fontId="37" fillId="2" borderId="0" xfId="0" applyFont="1" applyFill="1" applyBorder="1" applyAlignment="1">
      <alignment horizontal="center"/>
    </xf>
    <xf numFmtId="0" fontId="5" fillId="0" borderId="0" xfId="0" applyFont="1" applyFill="1" applyBorder="1" applyAlignment="1">
      <alignment horizontal="center"/>
    </xf>
    <xf numFmtId="3" fontId="3" fillId="0" borderId="1" xfId="0" applyNumberFormat="1" applyFont="1" applyBorder="1" applyAlignment="1">
      <alignment horizontal="center"/>
    </xf>
    <xf numFmtId="0" fontId="10" fillId="0" borderId="1" xfId="0" applyFont="1" applyBorder="1" applyAlignment="1">
      <alignment horizontal="center"/>
    </xf>
    <xf numFmtId="0" fontId="5" fillId="0" borderId="3" xfId="0" applyFont="1" applyBorder="1"/>
    <xf numFmtId="0" fontId="35" fillId="0" borderId="0" xfId="0" applyFont="1" applyBorder="1" applyAlignment="1">
      <alignment horizontal="center"/>
    </xf>
    <xf numFmtId="0" fontId="3" fillId="0" borderId="0" xfId="0" applyFont="1" applyBorder="1"/>
    <xf numFmtId="3" fontId="5" fillId="0" borderId="0" xfId="0" applyNumberFormat="1" applyFont="1" applyBorder="1"/>
    <xf numFmtId="3" fontId="3" fillId="0" borderId="6" xfId="0" applyNumberFormat="1" applyFont="1" applyFill="1" applyBorder="1" applyAlignment="1">
      <alignment horizontal="right"/>
    </xf>
    <xf numFmtId="0" fontId="24" fillId="0" borderId="0" xfId="0" applyFont="1" applyAlignment="1">
      <alignment horizontal="center"/>
    </xf>
    <xf numFmtId="1" fontId="5" fillId="0" borderId="0" xfId="0" applyNumberFormat="1" applyFont="1" applyBorder="1"/>
    <xf numFmtId="3" fontId="5" fillId="0" borderId="9" xfId="0" applyNumberFormat="1" applyFont="1" applyBorder="1"/>
    <xf numFmtId="166" fontId="4" fillId="0" borderId="0" xfId="0" applyNumberFormat="1" applyFont="1"/>
    <xf numFmtId="1" fontId="5" fillId="0" borderId="7" xfId="0" applyNumberFormat="1" applyFont="1" applyBorder="1"/>
    <xf numFmtId="0" fontId="3" fillId="0" borderId="6" xfId="0" applyFont="1" applyBorder="1"/>
    <xf numFmtId="9" fontId="35" fillId="0" borderId="0" xfId="0" applyNumberFormat="1" applyFont="1" applyFill="1" applyBorder="1" applyAlignment="1">
      <alignment horizontal="center"/>
    </xf>
    <xf numFmtId="3" fontId="17" fillId="0" borderId="0" xfId="0" applyNumberFormat="1" applyFont="1" applyBorder="1" applyAlignment="1">
      <alignment horizontal="center"/>
    </xf>
    <xf numFmtId="0" fontId="5" fillId="0" borderId="1" xfId="0" applyFont="1" applyBorder="1" applyAlignment="1">
      <alignment horizontal="center"/>
    </xf>
    <xf numFmtId="1" fontId="18" fillId="0" borderId="0" xfId="0" applyNumberFormat="1" applyFont="1" applyBorder="1" applyAlignment="1">
      <alignment horizontal="center"/>
    </xf>
    <xf numFmtId="1" fontId="35" fillId="0" borderId="0" xfId="0" applyNumberFormat="1" applyFont="1" applyBorder="1" applyAlignment="1">
      <alignment horizontal="center"/>
    </xf>
    <xf numFmtId="0" fontId="3" fillId="0" borderId="3" xfId="0" applyFont="1" applyBorder="1" applyAlignment="1">
      <alignment horizontal="center" vertical="center"/>
    </xf>
    <xf numFmtId="1" fontId="16" fillId="0" borderId="0" xfId="0" applyNumberFormat="1" applyFont="1"/>
    <xf numFmtId="1" fontId="0" fillId="0" borderId="0" xfId="0" applyNumberFormat="1"/>
    <xf numFmtId="0" fontId="5" fillId="0" borderId="0" xfId="0" quotePrefix="1" applyFont="1" applyFill="1"/>
    <xf numFmtId="1" fontId="40" fillId="0" borderId="0" xfId="0" applyNumberFormat="1" applyFont="1" applyFill="1"/>
    <xf numFmtId="1" fontId="0" fillId="0" borderId="0" xfId="0" applyNumberFormat="1" applyFont="1" applyFill="1"/>
    <xf numFmtId="1" fontId="5" fillId="0" borderId="0" xfId="0" applyNumberFormat="1" applyFont="1" applyFill="1"/>
    <xf numFmtId="0" fontId="5" fillId="0" borderId="9" xfId="0" applyFont="1" applyBorder="1" applyAlignment="1">
      <alignment horizontal="right"/>
    </xf>
    <xf numFmtId="0" fontId="3" fillId="0" borderId="0" xfId="0" applyFont="1" applyFill="1" applyBorder="1" applyAlignment="1">
      <alignment horizontal="left" indent="1"/>
    </xf>
    <xf numFmtId="0" fontId="3" fillId="0" borderId="7" xfId="0" applyFont="1" applyBorder="1" applyAlignment="1">
      <alignment horizontal="center" vertical="center"/>
    </xf>
    <xf numFmtId="0" fontId="3" fillId="0" borderId="17" xfId="0" applyFont="1" applyBorder="1" applyAlignment="1">
      <alignment horizontal="center" vertical="center" wrapText="1"/>
    </xf>
    <xf numFmtId="3" fontId="3" fillId="0" borderId="7" xfId="0" applyNumberFormat="1" applyFont="1" applyBorder="1" applyAlignment="1">
      <alignment vertical="center"/>
    </xf>
    <xf numFmtId="1" fontId="5" fillId="0" borderId="17" xfId="0" applyNumberFormat="1" applyFont="1" applyBorder="1"/>
    <xf numFmtId="3" fontId="3" fillId="0" borderId="7" xfId="0" applyNumberFormat="1" applyFont="1" applyBorder="1"/>
    <xf numFmtId="166" fontId="4" fillId="0" borderId="7" xfId="0" applyNumberFormat="1" applyFont="1" applyFill="1" applyBorder="1"/>
    <xf numFmtId="0" fontId="35" fillId="0" borderId="0" xfId="0" applyFont="1" applyBorder="1" applyAlignment="1">
      <alignment horizontal="left" indent="1"/>
    </xf>
    <xf numFmtId="0" fontId="24" fillId="0" borderId="0" xfId="0" applyFont="1" applyAlignment="1">
      <alignment horizontal="right"/>
    </xf>
    <xf numFmtId="0" fontId="39" fillId="0" borderId="0" xfId="0" applyFont="1" applyBorder="1"/>
    <xf numFmtId="1" fontId="3" fillId="0" borderId="0" xfId="0" applyNumberFormat="1" applyFont="1" applyBorder="1"/>
    <xf numFmtId="0" fontId="38" fillId="0" borderId="0" xfId="0" applyFont="1" applyBorder="1"/>
    <xf numFmtId="0" fontId="39" fillId="0" borderId="0" xfId="0" applyFont="1" applyBorder="1" applyAlignment="1">
      <alignment horizontal="right"/>
    </xf>
    <xf numFmtId="0" fontId="26" fillId="0" borderId="7" xfId="0" applyFont="1" applyBorder="1"/>
    <xf numFmtId="0" fontId="4" fillId="0" borderId="7" xfId="0" applyFont="1" applyBorder="1"/>
    <xf numFmtId="166" fontId="3" fillId="0" borderId="7" xfId="6" applyNumberFormat="1" applyFont="1" applyBorder="1"/>
    <xf numFmtId="9" fontId="5" fillId="0" borderId="0" xfId="9" applyFont="1" applyFill="1" applyBorder="1" applyAlignment="1">
      <alignment horizontal="center"/>
    </xf>
    <xf numFmtId="1" fontId="5" fillId="0" borderId="0" xfId="9" quotePrefix="1" applyNumberFormat="1" applyFont="1" applyFill="1" applyBorder="1" applyAlignment="1">
      <alignment horizontal="center"/>
    </xf>
    <xf numFmtId="1" fontId="5" fillId="0" borderId="0" xfId="9" applyNumberFormat="1" applyFont="1" applyFill="1" applyBorder="1" applyAlignment="1">
      <alignment horizontal="center"/>
    </xf>
    <xf numFmtId="0" fontId="4" fillId="0" borderId="12" xfId="0" applyFont="1" applyFill="1" applyBorder="1" applyAlignment="1">
      <alignment vertical="center"/>
    </xf>
    <xf numFmtId="0" fontId="34" fillId="0" borderId="0" xfId="0" applyFont="1"/>
    <xf numFmtId="0" fontId="5" fillId="0" borderId="0" xfId="0" quotePrefix="1" applyFont="1" applyAlignment="1">
      <alignment horizontal="left" wrapText="1"/>
    </xf>
    <xf numFmtId="0" fontId="5" fillId="0" borderId="0" xfId="0" applyFont="1" applyFill="1" applyAlignment="1">
      <alignment horizontal="center"/>
    </xf>
    <xf numFmtId="3" fontId="3" fillId="0" borderId="18" xfId="0" applyNumberFormat="1" applyFont="1" applyBorder="1" applyAlignment="1">
      <alignment horizontal="center"/>
    </xf>
    <xf numFmtId="3" fontId="36" fillId="0" borderId="0" xfId="0" applyNumberFormat="1" applyFont="1"/>
    <xf numFmtId="0" fontId="17" fillId="0" borderId="3" xfId="0" applyFont="1" applyBorder="1" applyAlignment="1">
      <alignment vertical="center"/>
    </xf>
    <xf numFmtId="164" fontId="24" fillId="0" borderId="0" xfId="0" applyNumberFormat="1" applyFont="1" applyBorder="1" applyAlignment="1">
      <alignment vertical="center"/>
    </xf>
    <xf numFmtId="0" fontId="32" fillId="0" borderId="0" xfId="0" applyFont="1" applyBorder="1" applyAlignment="1">
      <alignment horizontal="left"/>
    </xf>
    <xf numFmtId="1" fontId="5" fillId="0" borderId="0" xfId="0" applyNumberFormat="1" applyFont="1" applyBorder="1" applyAlignment="1">
      <alignment horizontal="center"/>
    </xf>
    <xf numFmtId="1" fontId="5" fillId="0" borderId="1" xfId="0" applyNumberFormat="1" applyFont="1" applyBorder="1" applyAlignment="1">
      <alignment horizontal="center"/>
    </xf>
    <xf numFmtId="1" fontId="17" fillId="0" borderId="1" xfId="0" applyNumberFormat="1" applyFont="1" applyBorder="1" applyAlignment="1">
      <alignment horizontal="center"/>
    </xf>
    <xf numFmtId="0" fontId="5" fillId="0" borderId="18" xfId="0" applyFont="1" applyBorder="1"/>
    <xf numFmtId="3" fontId="3" fillId="0" borderId="7" xfId="0" applyNumberFormat="1" applyFont="1" applyBorder="1" applyAlignment="1"/>
    <xf numFmtId="0" fontId="5" fillId="0" borderId="7" xfId="0" applyFont="1" applyBorder="1" applyAlignment="1">
      <alignment horizontal="center"/>
    </xf>
    <xf numFmtId="1" fontId="5" fillId="0" borderId="7" xfId="0" applyNumberFormat="1" applyFont="1" applyFill="1" applyBorder="1"/>
    <xf numFmtId="1" fontId="5" fillId="0" borderId="17" xfId="0" applyNumberFormat="1" applyFont="1" applyFill="1" applyBorder="1"/>
    <xf numFmtId="166" fontId="5" fillId="0" borderId="7" xfId="0" applyNumberFormat="1" applyFont="1" applyFill="1" applyBorder="1"/>
    <xf numFmtId="0" fontId="3" fillId="0" borderId="7" xfId="0" applyFont="1" applyBorder="1" applyAlignment="1">
      <alignment horizontal="center"/>
    </xf>
    <xf numFmtId="3" fontId="5" fillId="0" borderId="7" xfId="0" applyNumberFormat="1" applyFont="1" applyBorder="1"/>
    <xf numFmtId="164" fontId="5" fillId="0" borderId="0" xfId="0" applyNumberFormat="1" applyFont="1" applyBorder="1" applyAlignment="1">
      <alignment horizontal="center" vertical="center"/>
    </xf>
    <xf numFmtId="0" fontId="4" fillId="0" borderId="0" xfId="0" applyFont="1" applyBorder="1" applyAlignment="1">
      <alignment horizontal="center"/>
    </xf>
    <xf numFmtId="9" fontId="6" fillId="0" borderId="0" xfId="6" applyBorder="1"/>
    <xf numFmtId="0" fontId="31" fillId="0" borderId="0" xfId="1" applyFont="1" applyAlignment="1">
      <alignment horizontal="right"/>
    </xf>
    <xf numFmtId="3" fontId="12" fillId="0" borderId="0" xfId="0" applyNumberFormat="1" applyFont="1" applyBorder="1" applyAlignment="1">
      <alignment horizontal="center"/>
    </xf>
    <xf numFmtId="3" fontId="3" fillId="0" borderId="0" xfId="0" applyNumberFormat="1" applyFont="1" applyBorder="1" applyAlignment="1">
      <alignment horizontal="center"/>
    </xf>
    <xf numFmtId="1" fontId="17" fillId="0" borderId="0" xfId="0" applyNumberFormat="1" applyFont="1" applyBorder="1" applyAlignment="1">
      <alignment horizontal="center"/>
    </xf>
    <xf numFmtId="3" fontId="5" fillId="0" borderId="7" xfId="0" applyNumberFormat="1" applyFont="1" applyFill="1" applyBorder="1"/>
    <xf numFmtId="3" fontId="5" fillId="0" borderId="17" xfId="0" applyNumberFormat="1" applyFont="1" applyBorder="1"/>
    <xf numFmtId="1" fontId="3" fillId="0" borderId="6" xfId="0" applyNumberFormat="1" applyFont="1" applyBorder="1" applyAlignment="1">
      <alignment horizontal="right"/>
    </xf>
    <xf numFmtId="0" fontId="5" fillId="0" borderId="17" xfId="0" applyFont="1" applyBorder="1"/>
    <xf numFmtId="0" fontId="5" fillId="0" borderId="21" xfId="0" applyFont="1" applyBorder="1"/>
    <xf numFmtId="0" fontId="5" fillId="0" borderId="8" xfId="0" applyFont="1" applyBorder="1"/>
    <xf numFmtId="0" fontId="5" fillId="0" borderId="17" xfId="0" applyFont="1" applyBorder="1" applyAlignment="1">
      <alignment horizontal="right"/>
    </xf>
    <xf numFmtId="1" fontId="3" fillId="0" borderId="8" xfId="0" applyNumberFormat="1" applyFont="1" applyBorder="1" applyAlignment="1">
      <alignment horizontal="right"/>
    </xf>
    <xf numFmtId="0" fontId="5" fillId="0" borderId="0" xfId="0" applyFont="1" applyAlignment="1">
      <alignment horizontal="right" vertical="top"/>
    </xf>
    <xf numFmtId="0" fontId="31" fillId="0" borderId="0" xfId="1" applyFont="1" applyFill="1" applyBorder="1" applyAlignment="1">
      <alignment horizontal="right"/>
    </xf>
    <xf numFmtId="0" fontId="41" fillId="0" borderId="0" xfId="0" applyFont="1"/>
    <xf numFmtId="0" fontId="9" fillId="0" borderId="0" xfId="1"/>
    <xf numFmtId="0" fontId="0" fillId="0" borderId="0" xfId="0" applyAlignment="1">
      <alignment horizontal="left" vertical="center" indent="1"/>
    </xf>
    <xf numFmtId="0" fontId="42" fillId="0" borderId="0" xfId="0" applyFont="1"/>
    <xf numFmtId="0" fontId="9" fillId="0" borderId="0" xfId="1" applyAlignment="1">
      <alignment horizontal="left" vertical="center" indent="1"/>
    </xf>
    <xf numFmtId="0" fontId="43" fillId="0" borderId="0" xfId="0" applyFont="1" applyAlignment="1">
      <alignment vertical="center"/>
    </xf>
    <xf numFmtId="0" fontId="0" fillId="0" borderId="0" xfId="0" applyAlignment="1">
      <alignment wrapText="1"/>
    </xf>
    <xf numFmtId="0" fontId="44" fillId="0" borderId="0" xfId="0" applyFont="1"/>
    <xf numFmtId="0" fontId="45" fillId="0" borderId="0" xfId="0" applyFont="1"/>
    <xf numFmtId="0" fontId="5" fillId="0" borderId="0" xfId="0" quotePrefix="1" applyFont="1" applyAlignment="1">
      <alignment horizontal="left" wrapText="1"/>
    </xf>
    <xf numFmtId="0" fontId="5" fillId="0" borderId="0" xfId="0" applyFont="1" applyFill="1" applyBorder="1" applyAlignment="1">
      <alignment horizontal="left" wrapText="1" indent="1"/>
    </xf>
    <xf numFmtId="0" fontId="32" fillId="0" borderId="0" xfId="0" applyFont="1" applyAlignment="1">
      <alignment horizontal="right"/>
    </xf>
    <xf numFmtId="166" fontId="5" fillId="4" borderId="0" xfId="6" applyNumberFormat="1" applyFont="1" applyFill="1"/>
    <xf numFmtId="0" fontId="24" fillId="0" borderId="0" xfId="0" applyFont="1" applyFill="1"/>
    <xf numFmtId="0" fontId="3" fillId="4" borderId="0" xfId="0" applyFont="1" applyFill="1" applyAlignment="1">
      <alignment horizontal="center"/>
    </xf>
    <xf numFmtId="3" fontId="3" fillId="4" borderId="0" xfId="0" applyNumberFormat="1" applyFont="1" applyFill="1" applyAlignment="1">
      <alignment vertical="center"/>
    </xf>
    <xf numFmtId="3" fontId="5" fillId="4" borderId="0" xfId="10" applyNumberFormat="1" applyFont="1" applyFill="1"/>
    <xf numFmtId="3" fontId="5" fillId="4" borderId="0" xfId="10" applyNumberFormat="1" applyFont="1" applyFill="1" applyBorder="1"/>
    <xf numFmtId="3" fontId="5" fillId="4" borderId="0" xfId="10" applyNumberFormat="1" applyFont="1" applyFill="1" applyAlignment="1">
      <alignment horizontal="right"/>
    </xf>
    <xf numFmtId="3" fontId="10" fillId="4" borderId="0" xfId="10" applyNumberFormat="1" applyFont="1" applyFill="1"/>
    <xf numFmtId="3" fontId="24" fillId="4" borderId="0" xfId="10" applyNumberFormat="1" applyFont="1" applyFill="1"/>
    <xf numFmtId="3" fontId="5" fillId="4" borderId="0" xfId="5" applyNumberFormat="1" applyFont="1" applyFill="1"/>
    <xf numFmtId="164" fontId="5" fillId="4" borderId="0" xfId="10" applyNumberFormat="1" applyFont="1" applyFill="1" applyBorder="1"/>
    <xf numFmtId="164" fontId="5" fillId="4" borderId="0" xfId="10" applyNumberFormat="1" applyFont="1" applyFill="1"/>
    <xf numFmtId="3" fontId="5" fillId="4" borderId="6" xfId="0" applyNumberFormat="1" applyFont="1" applyFill="1" applyBorder="1"/>
    <xf numFmtId="3" fontId="33" fillId="4" borderId="0" xfId="10" applyNumberFormat="1" applyFont="1" applyFill="1" applyBorder="1"/>
    <xf numFmtId="3" fontId="33" fillId="4" borderId="0" xfId="0" applyNumberFormat="1" applyFont="1" applyFill="1"/>
    <xf numFmtId="3" fontId="3" fillId="4" borderId="6" xfId="0" applyNumberFormat="1" applyFont="1" applyFill="1" applyBorder="1"/>
    <xf numFmtId="0" fontId="12" fillId="4" borderId="3" xfId="0" applyFont="1" applyFill="1" applyBorder="1" applyAlignment="1">
      <alignment horizontal="center"/>
    </xf>
    <xf numFmtId="0" fontId="3" fillId="4" borderId="3" xfId="0" applyFont="1" applyFill="1" applyBorder="1" applyAlignment="1">
      <alignment horizontal="center"/>
    </xf>
    <xf numFmtId="164" fontId="5" fillId="4" borderId="1" xfId="0" applyNumberFormat="1" applyFont="1" applyFill="1" applyBorder="1" applyAlignment="1">
      <alignment horizontal="center" vertical="center"/>
    </xf>
    <xf numFmtId="164" fontId="10" fillId="4" borderId="0" xfId="0" applyNumberFormat="1" applyFont="1" applyFill="1" applyBorder="1" applyAlignment="1">
      <alignment horizontal="center" vertical="center"/>
    </xf>
    <xf numFmtId="0" fontId="13" fillId="4" borderId="0" xfId="0" applyFont="1" applyFill="1" applyBorder="1" applyAlignment="1">
      <alignment horizontal="center"/>
    </xf>
    <xf numFmtId="0" fontId="37" fillId="4" borderId="0" xfId="0" applyFont="1" applyFill="1" applyBorder="1" applyAlignment="1">
      <alignment horizontal="center"/>
    </xf>
    <xf numFmtId="0" fontId="10" fillId="4" borderId="0" xfId="0" applyFont="1" applyFill="1" applyBorder="1" applyAlignment="1">
      <alignment horizontal="center"/>
    </xf>
    <xf numFmtId="0" fontId="5" fillId="4" borderId="0" xfId="0" applyFont="1" applyFill="1" applyBorder="1" applyAlignment="1">
      <alignment horizontal="center"/>
    </xf>
    <xf numFmtId="0" fontId="10" fillId="4" borderId="1" xfId="0" applyFont="1" applyFill="1" applyBorder="1" applyAlignment="1">
      <alignment horizontal="center"/>
    </xf>
    <xf numFmtId="0" fontId="5" fillId="4" borderId="1" xfId="0" applyFont="1" applyFill="1" applyBorder="1" applyAlignment="1">
      <alignment horizontal="center"/>
    </xf>
    <xf numFmtId="3" fontId="12" fillId="4" borderId="1" xfId="0" applyNumberFormat="1" applyFont="1" applyFill="1" applyBorder="1" applyAlignment="1">
      <alignment horizontal="center"/>
    </xf>
    <xf numFmtId="3" fontId="3" fillId="4" borderId="1" xfId="0" applyNumberFormat="1" applyFont="1" applyFill="1" applyBorder="1" applyAlignment="1">
      <alignment horizontal="center"/>
    </xf>
    <xf numFmtId="1" fontId="3" fillId="4" borderId="0" xfId="10" applyNumberFormat="1" applyFont="1" applyFill="1" applyBorder="1" applyAlignment="1">
      <alignment horizontal="center"/>
    </xf>
    <xf numFmtId="1" fontId="3" fillId="4" borderId="0" xfId="10" applyNumberFormat="1" applyFont="1" applyFill="1" applyAlignment="1">
      <alignment horizontal="center"/>
    </xf>
    <xf numFmtId="0" fontId="3" fillId="4" borderId="1" xfId="0" applyFont="1" applyFill="1" applyBorder="1" applyAlignment="1">
      <alignment horizontal="center" vertical="center" wrapText="1"/>
    </xf>
    <xf numFmtId="0" fontId="5" fillId="4" borderId="3" xfId="10" applyFont="1" applyFill="1" applyBorder="1"/>
    <xf numFmtId="164" fontId="5" fillId="4" borderId="3" xfId="10" applyNumberFormat="1" applyFont="1" applyFill="1" applyBorder="1"/>
    <xf numFmtId="3" fontId="3" fillId="4" borderId="0" xfId="10" applyNumberFormat="1" applyFont="1" applyFill="1" applyBorder="1"/>
    <xf numFmtId="3" fontId="3" fillId="4" borderId="0" xfId="10" applyNumberFormat="1" applyFont="1" applyFill="1"/>
    <xf numFmtId="3" fontId="4" fillId="4" borderId="0" xfId="10" applyNumberFormat="1" applyFont="1" applyFill="1" applyBorder="1"/>
    <xf numFmtId="3" fontId="4" fillId="4" borderId="0" xfId="10" applyNumberFormat="1" applyFont="1" applyFill="1"/>
    <xf numFmtId="3" fontId="5" fillId="4" borderId="0" xfId="0" applyNumberFormat="1" applyFont="1" applyFill="1" applyBorder="1"/>
    <xf numFmtId="3" fontId="5" fillId="4" borderId="0" xfId="0" applyNumberFormat="1" applyFont="1" applyFill="1"/>
    <xf numFmtId="3" fontId="5" fillId="4" borderId="9" xfId="10" applyNumberFormat="1" applyFont="1" applyFill="1" applyBorder="1"/>
    <xf numFmtId="3" fontId="41" fillId="0" borderId="0" xfId="0" applyNumberFormat="1" applyFont="1"/>
    <xf numFmtId="0" fontId="41" fillId="0" borderId="22" xfId="0" applyFont="1" applyBorder="1"/>
    <xf numFmtId="3" fontId="41" fillId="0" borderId="22" xfId="0" applyNumberFormat="1" applyFont="1" applyBorder="1"/>
    <xf numFmtId="0" fontId="41" fillId="0" borderId="0" xfId="0" applyFont="1" applyBorder="1"/>
    <xf numFmtId="3" fontId="41" fillId="0" borderId="0" xfId="0" applyNumberFormat="1" applyFont="1" applyBorder="1"/>
    <xf numFmtId="0" fontId="47" fillId="0" borderId="0" xfId="0" applyFont="1"/>
    <xf numFmtId="3" fontId="47" fillId="0" borderId="0" xfId="0" applyNumberFormat="1" applyFont="1"/>
    <xf numFmtId="9" fontId="3" fillId="0" borderId="0" xfId="9" applyFont="1" applyFill="1" applyBorder="1" applyAlignment="1">
      <alignment horizontal="center"/>
    </xf>
    <xf numFmtId="164" fontId="18" fillId="0" borderId="0" xfId="0" applyNumberFormat="1" applyFont="1" applyBorder="1" applyAlignment="1">
      <alignment horizontal="center" vertical="center"/>
    </xf>
    <xf numFmtId="9" fontId="18" fillId="0" borderId="0" xfId="0" applyNumberFormat="1" applyFont="1" applyFill="1" applyBorder="1" applyAlignment="1">
      <alignment horizontal="center"/>
    </xf>
    <xf numFmtId="0" fontId="5" fillId="0" borderId="4" xfId="0" applyFont="1" applyFill="1" applyBorder="1" applyAlignment="1">
      <alignment horizontal="left" wrapText="1"/>
    </xf>
    <xf numFmtId="0" fontId="4" fillId="0" borderId="0" xfId="0" applyFont="1" applyAlignment="1">
      <alignment horizontal="left"/>
    </xf>
    <xf numFmtId="1" fontId="5" fillId="0" borderId="0" xfId="0" applyNumberFormat="1" applyFont="1" applyAlignment="1">
      <alignment horizontal="right"/>
    </xf>
    <xf numFmtId="0" fontId="49" fillId="2" borderId="0" xfId="0" applyFont="1" applyFill="1" applyBorder="1" applyAlignment="1">
      <alignment horizontal="center"/>
    </xf>
    <xf numFmtId="164" fontId="27" fillId="0" borderId="0" xfId="10" applyNumberFormat="1" applyFont="1" applyBorder="1" applyAlignment="1">
      <alignment horizontal="center"/>
    </xf>
    <xf numFmtId="164" fontId="27" fillId="0" borderId="0" xfId="10" applyNumberFormat="1" applyFont="1" applyAlignment="1">
      <alignment horizontal="center"/>
    </xf>
    <xf numFmtId="166" fontId="5" fillId="0" borderId="7" xfId="6" applyNumberFormat="1" applyFont="1" applyBorder="1"/>
    <xf numFmtId="0" fontId="17" fillId="0" borderId="3" xfId="0" applyFont="1" applyBorder="1" applyAlignment="1">
      <alignment horizontal="center" vertical="center"/>
    </xf>
    <xf numFmtId="0" fontId="3" fillId="0" borderId="6" xfId="0" applyFont="1" applyFill="1" applyBorder="1" applyAlignment="1">
      <alignment vertical="center" wrapText="1"/>
    </xf>
    <xf numFmtId="0" fontId="5" fillId="0" borderId="7" xfId="0" applyFont="1" applyFill="1" applyBorder="1"/>
    <xf numFmtId="165" fontId="5" fillId="0" borderId="17" xfId="0" applyNumberFormat="1" applyFont="1" applyBorder="1"/>
    <xf numFmtId="3" fontId="33" fillId="0" borderId="7" xfId="0" applyNumberFormat="1" applyFont="1" applyBorder="1"/>
    <xf numFmtId="3" fontId="3" fillId="0" borderId="8" xfId="0" applyNumberFormat="1" applyFont="1" applyBorder="1"/>
    <xf numFmtId="3" fontId="3" fillId="0" borderId="7" xfId="0" applyNumberFormat="1" applyFont="1" applyFill="1" applyBorder="1" applyAlignment="1">
      <alignment vertical="center"/>
    </xf>
    <xf numFmtId="3" fontId="5" fillId="0" borderId="7" xfId="6" applyNumberFormat="1" applyFont="1" applyFill="1" applyBorder="1"/>
    <xf numFmtId="165" fontId="5" fillId="0" borderId="17" xfId="6" applyNumberFormat="1" applyFont="1" applyFill="1" applyBorder="1"/>
    <xf numFmtId="165" fontId="5" fillId="0" borderId="7" xfId="6" applyNumberFormat="1" applyFont="1" applyFill="1" applyBorder="1"/>
    <xf numFmtId="3" fontId="4" fillId="0" borderId="17" xfId="6" applyNumberFormat="1" applyFont="1" applyFill="1" applyBorder="1"/>
    <xf numFmtId="3" fontId="3" fillId="0" borderId="7" xfId="6" applyNumberFormat="1" applyFont="1" applyFill="1" applyBorder="1"/>
    <xf numFmtId="166" fontId="5" fillId="0" borderId="7" xfId="6" applyNumberFormat="1" applyFont="1" applyFill="1" applyBorder="1"/>
    <xf numFmtId="0" fontId="0" fillId="0" borderId="7" xfId="0" applyFont="1" applyBorder="1" applyAlignment="1">
      <alignment vertical="center" wrapText="1"/>
    </xf>
    <xf numFmtId="0" fontId="3" fillId="0" borderId="19" xfId="0" applyFont="1" applyBorder="1" applyAlignment="1">
      <alignment horizontal="center"/>
    </xf>
    <xf numFmtId="3" fontId="3" fillId="0" borderId="19" xfId="0" applyNumberFormat="1" applyFont="1" applyBorder="1" applyAlignment="1">
      <alignment vertical="center"/>
    </xf>
    <xf numFmtId="3" fontId="5" fillId="0" borderId="19" xfId="0" applyNumberFormat="1" applyFont="1" applyBorder="1"/>
    <xf numFmtId="1" fontId="5" fillId="0" borderId="19" xfId="0" applyNumberFormat="1" applyFont="1" applyBorder="1"/>
    <xf numFmtId="1" fontId="24" fillId="0" borderId="19" xfId="0" applyNumberFormat="1" applyFont="1" applyBorder="1"/>
    <xf numFmtId="0" fontId="24" fillId="0" borderId="19" xfId="0" applyFont="1" applyFill="1" applyBorder="1"/>
    <xf numFmtId="165" fontId="5" fillId="0" borderId="23" xfId="0" applyNumberFormat="1" applyFont="1" applyFill="1" applyBorder="1"/>
    <xf numFmtId="0" fontId="24" fillId="0" borderId="19" xfId="0" applyFont="1" applyBorder="1"/>
    <xf numFmtId="3" fontId="33" fillId="0" borderId="23" xfId="0" applyNumberFormat="1" applyFont="1" applyBorder="1"/>
    <xf numFmtId="3" fontId="3" fillId="0" borderId="19" xfId="0" applyNumberFormat="1" applyFont="1" applyBorder="1"/>
    <xf numFmtId="166" fontId="5" fillId="0" borderId="19" xfId="6" applyNumberFormat="1" applyFont="1" applyBorder="1"/>
    <xf numFmtId="0" fontId="5" fillId="0" borderId="0" xfId="10" applyFont="1" applyAlignment="1">
      <alignment horizontal="left"/>
    </xf>
    <xf numFmtId="0" fontId="5" fillId="0" borderId="0" xfId="5" applyFont="1"/>
    <xf numFmtId="166" fontId="5" fillId="0" borderId="19" xfId="6" applyNumberFormat="1" applyFont="1" applyFill="1" applyBorder="1"/>
    <xf numFmtId="0" fontId="31" fillId="0" borderId="0" xfId="1" applyFont="1" applyFill="1"/>
    <xf numFmtId="0" fontId="4" fillId="0" borderId="5" xfId="0" applyFont="1" applyFill="1" applyBorder="1"/>
    <xf numFmtId="0" fontId="24" fillId="5" borderId="12" xfId="0" applyFont="1" applyFill="1" applyBorder="1"/>
    <xf numFmtId="0" fontId="3" fillId="0" borderId="26" xfId="0" applyFont="1" applyBorder="1"/>
    <xf numFmtId="0" fontId="15" fillId="0" borderId="0" xfId="0" applyFont="1"/>
    <xf numFmtId="1" fontId="3" fillId="0" borderId="0" xfId="0" applyNumberFormat="1" applyFont="1" applyAlignment="1">
      <alignment horizontal="right"/>
    </xf>
    <xf numFmtId="1" fontId="3" fillId="0" borderId="7" xfId="0" applyNumberFormat="1" applyFont="1" applyBorder="1" applyAlignment="1">
      <alignment horizontal="right"/>
    </xf>
    <xf numFmtId="1" fontId="5" fillId="0" borderId="20" xfId="0" applyNumberFormat="1" applyFont="1" applyBorder="1" applyAlignment="1">
      <alignment horizontal="right"/>
    </xf>
    <xf numFmtId="1" fontId="3" fillId="0" borderId="25" xfId="0" applyNumberFormat="1" applyFont="1" applyBorder="1" applyAlignment="1">
      <alignment horizontal="right"/>
    </xf>
    <xf numFmtId="9" fontId="5" fillId="0" borderId="0" xfId="0" applyNumberFormat="1" applyFont="1"/>
    <xf numFmtId="0" fontId="6" fillId="0" borderId="0" xfId="11"/>
    <xf numFmtId="0" fontId="5" fillId="0" borderId="0" xfId="11" applyFont="1"/>
    <xf numFmtId="9" fontId="5" fillId="0" borderId="0" xfId="11" applyNumberFormat="1" applyFont="1" applyAlignment="1">
      <alignment horizontal="center"/>
    </xf>
    <xf numFmtId="0" fontId="5" fillId="0" borderId="0" xfId="11" applyFont="1" applyAlignment="1">
      <alignment horizontal="right"/>
    </xf>
    <xf numFmtId="9" fontId="3" fillId="0" borderId="0" xfId="11" applyNumberFormat="1" applyFont="1" applyAlignment="1">
      <alignment horizontal="center"/>
    </xf>
    <xf numFmtId="0" fontId="3" fillId="0" borderId="0" xfId="11" applyFont="1" applyAlignment="1">
      <alignment horizontal="right"/>
    </xf>
    <xf numFmtId="0" fontId="3" fillId="0" borderId="0" xfId="11" applyFont="1" applyAlignment="1">
      <alignment horizontal="center"/>
    </xf>
    <xf numFmtId="0" fontId="5" fillId="0" borderId="0" xfId="11" applyFont="1" applyAlignment="1">
      <alignment horizontal="center"/>
    </xf>
    <xf numFmtId="9" fontId="15" fillId="0" borderId="0" xfId="11" applyNumberFormat="1" applyFont="1" applyAlignment="1">
      <alignment horizontal="center"/>
    </xf>
    <xf numFmtId="9" fontId="15" fillId="0" borderId="0" xfId="11" applyNumberFormat="1" applyFont="1"/>
    <xf numFmtId="165" fontId="6" fillId="0" borderId="0" xfId="11" applyNumberFormat="1"/>
    <xf numFmtId="0" fontId="4" fillId="0" borderId="0" xfId="11" applyFont="1"/>
    <xf numFmtId="0" fontId="17" fillId="0" borderId="0" xfId="11" applyFont="1"/>
    <xf numFmtId="9" fontId="6" fillId="0" borderId="0" xfId="13" applyBorder="1"/>
    <xf numFmtId="0" fontId="3" fillId="0" borderId="11" xfId="11" applyFont="1" applyBorder="1"/>
    <xf numFmtId="0" fontId="3" fillId="0" borderId="0" xfId="11" applyFont="1"/>
    <xf numFmtId="0" fontId="3" fillId="0" borderId="10" xfId="11" applyFont="1" applyBorder="1"/>
    <xf numFmtId="0" fontId="3" fillId="0" borderId="16" xfId="0" applyFont="1" applyFill="1" applyBorder="1" applyAlignment="1">
      <alignment horizontal="center" vertical="center" wrapText="1"/>
    </xf>
    <xf numFmtId="3" fontId="5" fillId="0" borderId="0" xfId="0" applyNumberFormat="1" applyFont="1" applyAlignment="1">
      <alignment horizontal="right" vertical="center"/>
    </xf>
    <xf numFmtId="3" fontId="5" fillId="0" borderId="9" xfId="0" applyNumberFormat="1" applyFont="1" applyBorder="1" applyAlignment="1">
      <alignment horizontal="right" vertical="center"/>
    </xf>
    <xf numFmtId="166" fontId="5" fillId="0" borderId="0" xfId="0" applyNumberFormat="1" applyFont="1" applyFill="1"/>
    <xf numFmtId="166" fontId="4" fillId="0" borderId="12" xfId="0" applyNumberFormat="1" applyFont="1" applyFill="1" applyBorder="1"/>
    <xf numFmtId="0" fontId="51" fillId="0" borderId="0" xfId="0" applyFont="1" applyFill="1"/>
    <xf numFmtId="0" fontId="3" fillId="0" borderId="8" xfId="0" applyFont="1" applyBorder="1" applyAlignment="1">
      <alignment horizontal="left"/>
    </xf>
    <xf numFmtId="0" fontId="4" fillId="0" borderId="7" xfId="0" applyFont="1" applyBorder="1" applyAlignment="1">
      <alignment horizontal="left"/>
    </xf>
    <xf numFmtId="3" fontId="4" fillId="0" borderId="0" xfId="0" applyNumberFormat="1" applyFont="1" applyFill="1" applyAlignment="1">
      <alignment horizontal="right"/>
    </xf>
    <xf numFmtId="1" fontId="5" fillId="0" borderId="17" xfId="0" applyNumberFormat="1" applyFont="1" applyBorder="1" applyAlignment="1"/>
    <xf numFmtId="3" fontId="4" fillId="0" borderId="9" xfId="0" applyNumberFormat="1" applyFont="1" applyBorder="1" applyAlignment="1"/>
    <xf numFmtId="0" fontId="33" fillId="0" borderId="9" xfId="0" applyFont="1" applyBorder="1" applyAlignment="1">
      <alignment horizontal="center" vertical="center"/>
    </xf>
    <xf numFmtId="166" fontId="3" fillId="5" borderId="12" xfId="6" applyNumberFormat="1" applyFont="1" applyFill="1" applyBorder="1"/>
    <xf numFmtId="166" fontId="5" fillId="5" borderId="12" xfId="6" applyNumberFormat="1" applyFont="1" applyFill="1" applyBorder="1"/>
    <xf numFmtId="0" fontId="3" fillId="5" borderId="16" xfId="0" applyFont="1" applyFill="1" applyBorder="1" applyAlignment="1">
      <alignment horizontal="center" vertical="center" wrapText="1"/>
    </xf>
    <xf numFmtId="166" fontId="4" fillId="0" borderId="19" xfId="0" applyNumberFormat="1" applyFont="1" applyFill="1" applyBorder="1"/>
    <xf numFmtId="3" fontId="3" fillId="5" borderId="12" xfId="0" applyNumberFormat="1" applyFont="1" applyFill="1" applyBorder="1" applyAlignment="1">
      <alignment vertical="center"/>
    </xf>
    <xf numFmtId="3" fontId="5" fillId="5" borderId="12" xfId="0" applyNumberFormat="1" applyFont="1" applyFill="1" applyBorder="1"/>
    <xf numFmtId="3" fontId="3" fillId="5" borderId="15" xfId="0" applyNumberFormat="1" applyFont="1" applyFill="1" applyBorder="1" applyAlignment="1"/>
    <xf numFmtId="0" fontId="5" fillId="0" borderId="7" xfId="0" applyFont="1" applyBorder="1" applyAlignment="1">
      <alignment horizontal="left"/>
    </xf>
    <xf numFmtId="3" fontId="5" fillId="0" borderId="0" xfId="0" applyNumberFormat="1" applyFont="1" applyFill="1" applyBorder="1" applyAlignment="1">
      <alignment horizontal="right" wrapText="1"/>
    </xf>
    <xf numFmtId="1" fontId="5" fillId="0" borderId="7" xfId="0" applyNumberFormat="1" applyFont="1" applyBorder="1" applyAlignment="1"/>
    <xf numFmtId="3" fontId="5" fillId="0" borderId="0" xfId="0" applyNumberFormat="1" applyFont="1" applyBorder="1" applyAlignment="1"/>
    <xf numFmtId="3" fontId="5" fillId="0" borderId="0" xfId="0" applyNumberFormat="1" applyFont="1" applyFill="1" applyAlignment="1">
      <alignment horizontal="right" wrapText="1"/>
    </xf>
    <xf numFmtId="0" fontId="5" fillId="0" borderId="0" xfId="0" applyFont="1" applyAlignment="1"/>
    <xf numFmtId="0" fontId="5" fillId="0" borderId="7" xfId="0" applyFont="1" applyBorder="1" applyAlignment="1"/>
    <xf numFmtId="3" fontId="5" fillId="0" borderId="0" xfId="0" applyNumberFormat="1" applyFont="1" applyFill="1" applyAlignment="1">
      <alignment horizontal="right"/>
    </xf>
    <xf numFmtId="3" fontId="3" fillId="5" borderId="12" xfId="0" applyNumberFormat="1" applyFont="1" applyFill="1" applyBorder="1"/>
    <xf numFmtId="166" fontId="4" fillId="5" borderId="12" xfId="0" applyNumberFormat="1" applyFont="1" applyFill="1" applyBorder="1"/>
    <xf numFmtId="0" fontId="54" fillId="6" borderId="12" xfId="0" applyFont="1" applyFill="1" applyBorder="1" applyAlignment="1">
      <alignment horizontal="center" vertical="center"/>
    </xf>
    <xf numFmtId="166" fontId="56" fillId="6" borderId="12" xfId="0" applyNumberFormat="1" applyFont="1" applyFill="1" applyBorder="1"/>
    <xf numFmtId="0" fontId="54" fillId="6" borderId="12" xfId="0" applyFont="1" applyFill="1" applyBorder="1" applyAlignment="1">
      <alignment horizontal="center" vertical="center" wrapText="1"/>
    </xf>
    <xf numFmtId="0" fontId="3" fillId="0" borderId="7" xfId="0" applyFont="1" applyBorder="1" applyAlignment="1">
      <alignment horizontal="center" vertical="center" wrapText="1"/>
    </xf>
    <xf numFmtId="3" fontId="3" fillId="3" borderId="0" xfId="0" applyNumberFormat="1" applyFont="1" applyFill="1" applyAlignment="1">
      <alignment vertical="center"/>
    </xf>
    <xf numFmtId="166" fontId="5" fillId="3" borderId="0" xfId="6" applyNumberFormat="1" applyFont="1" applyFill="1" applyAlignment="1">
      <alignment horizontal="center" vertical="center"/>
    </xf>
    <xf numFmtId="3" fontId="5" fillId="3" borderId="0" xfId="0" applyNumberFormat="1" applyFont="1" applyFill="1"/>
    <xf numFmtId="166" fontId="5" fillId="3" borderId="0" xfId="6" applyNumberFormat="1" applyFont="1" applyFill="1" applyAlignment="1">
      <alignment horizontal="center"/>
    </xf>
    <xf numFmtId="166" fontId="24" fillId="3" borderId="0" xfId="6" applyNumberFormat="1" applyFont="1" applyFill="1" applyAlignment="1">
      <alignment horizontal="center"/>
    </xf>
    <xf numFmtId="0" fontId="5" fillId="3" borderId="0" xfId="0" applyFont="1" applyFill="1" applyAlignment="1"/>
    <xf numFmtId="164" fontId="5" fillId="3" borderId="0" xfId="0" applyNumberFormat="1" applyFont="1" applyFill="1"/>
    <xf numFmtId="166" fontId="5" fillId="3" borderId="9" xfId="6" applyNumberFormat="1" applyFont="1" applyFill="1" applyBorder="1" applyAlignment="1">
      <alignment horizontal="center"/>
    </xf>
    <xf numFmtId="3" fontId="5" fillId="3" borderId="6" xfId="0" applyNumberFormat="1" applyFont="1" applyFill="1" applyBorder="1"/>
    <xf numFmtId="0" fontId="5" fillId="3" borderId="0" xfId="0" applyFont="1" applyFill="1"/>
    <xf numFmtId="3" fontId="4" fillId="3" borderId="0" xfId="0" applyNumberFormat="1" applyFont="1" applyFill="1"/>
    <xf numFmtId="3" fontId="3" fillId="3" borderId="6" xfId="0" applyNumberFormat="1" applyFont="1" applyFill="1" applyBorder="1"/>
    <xf numFmtId="166" fontId="5" fillId="3" borderId="0" xfId="6" applyNumberFormat="1" applyFont="1" applyFill="1"/>
    <xf numFmtId="166" fontId="5" fillId="3" borderId="0" xfId="6" applyNumberFormat="1" applyFont="1" applyFill="1" applyBorder="1"/>
    <xf numFmtId="0" fontId="5" fillId="6" borderId="0" xfId="0" applyFont="1" applyFill="1"/>
    <xf numFmtId="0" fontId="5" fillId="0" borderId="19" xfId="0" applyFont="1" applyBorder="1" applyAlignment="1">
      <alignment horizontal="center"/>
    </xf>
    <xf numFmtId="0" fontId="5" fillId="0" borderId="19" xfId="0" applyFont="1" applyBorder="1"/>
    <xf numFmtId="1" fontId="5" fillId="0" borderId="9" xfId="0" applyNumberFormat="1" applyFont="1" applyBorder="1"/>
    <xf numFmtId="1" fontId="5" fillId="0" borderId="0" xfId="0" applyNumberFormat="1" applyFont="1" applyAlignment="1">
      <alignment vertical="center"/>
    </xf>
    <xf numFmtId="0" fontId="5" fillId="3" borderId="6" xfId="0" applyFont="1" applyFill="1" applyBorder="1"/>
    <xf numFmtId="0" fontId="37" fillId="2" borderId="3" xfId="0" applyFont="1" applyFill="1" applyBorder="1" applyAlignment="1">
      <alignment horizontal="center"/>
    </xf>
    <xf numFmtId="9" fontId="5" fillId="0" borderId="0" xfId="0" applyNumberFormat="1" applyFont="1" applyFill="1" applyBorder="1" applyAlignment="1">
      <alignment horizontal="center"/>
    </xf>
    <xf numFmtId="1" fontId="3" fillId="0" borderId="0" xfId="0" applyNumberFormat="1" applyFont="1" applyFill="1" applyBorder="1" applyAlignment="1">
      <alignment horizontal="center"/>
    </xf>
    <xf numFmtId="3" fontId="4" fillId="0" borderId="0" xfId="0" applyNumberFormat="1" applyFont="1" applyFill="1" applyBorder="1" applyAlignment="1">
      <alignment horizontal="center"/>
    </xf>
    <xf numFmtId="3" fontId="3" fillId="0" borderId="18" xfId="0" applyNumberFormat="1" applyFont="1" applyFill="1" applyBorder="1" applyAlignment="1">
      <alignment horizontal="center"/>
    </xf>
    <xf numFmtId="0" fontId="37" fillId="3" borderId="0" xfId="0" applyFont="1" applyFill="1" applyBorder="1" applyAlignment="1">
      <alignment horizontal="center"/>
    </xf>
    <xf numFmtId="0" fontId="4" fillId="3" borderId="0" xfId="0" applyFont="1" applyFill="1" applyBorder="1" applyAlignment="1">
      <alignment horizontal="center"/>
    </xf>
    <xf numFmtId="9" fontId="5" fillId="3" borderId="0" xfId="0" applyNumberFormat="1" applyFont="1" applyFill="1" applyBorder="1" applyAlignment="1">
      <alignment horizontal="center"/>
    </xf>
    <xf numFmtId="1" fontId="5" fillId="3" borderId="0" xfId="0" applyNumberFormat="1" applyFont="1" applyFill="1" applyBorder="1" applyAlignment="1">
      <alignment horizontal="center"/>
    </xf>
    <xf numFmtId="1" fontId="3" fillId="3" borderId="0" xfId="0" applyNumberFormat="1" applyFont="1" applyFill="1" applyBorder="1" applyAlignment="1">
      <alignment horizontal="center"/>
    </xf>
    <xf numFmtId="1" fontId="4" fillId="3" borderId="1" xfId="0" applyNumberFormat="1" applyFont="1" applyFill="1" applyBorder="1" applyAlignment="1">
      <alignment horizontal="center"/>
    </xf>
    <xf numFmtId="3" fontId="3" fillId="3" borderId="18" xfId="0" applyNumberFormat="1" applyFont="1" applyFill="1" applyBorder="1" applyAlignment="1">
      <alignment horizontal="center"/>
    </xf>
    <xf numFmtId="9" fontId="5" fillId="3" borderId="18" xfId="0" applyNumberFormat="1" applyFont="1" applyFill="1" applyBorder="1" applyAlignment="1">
      <alignment horizontal="center"/>
    </xf>
    <xf numFmtId="3" fontId="5" fillId="0" borderId="0" xfId="0" applyNumberFormat="1" applyFont="1" applyAlignment="1">
      <alignment horizontal="center"/>
    </xf>
    <xf numFmtId="0" fontId="3" fillId="6" borderId="0" xfId="0" applyFont="1" applyFill="1" applyBorder="1" applyAlignment="1">
      <alignment horizontal="center"/>
    </xf>
    <xf numFmtId="0" fontId="3" fillId="3" borderId="0" xfId="0" applyFont="1" applyFill="1" applyBorder="1" applyAlignment="1">
      <alignment horizontal="center"/>
    </xf>
    <xf numFmtId="0" fontId="3" fillId="6"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6" borderId="0" xfId="0" applyFont="1" applyFill="1" applyBorder="1" applyAlignment="1">
      <alignment horizontal="center"/>
    </xf>
    <xf numFmtId="3" fontId="5" fillId="6" borderId="0" xfId="0" applyNumberFormat="1" applyFont="1" applyFill="1" applyBorder="1" applyAlignment="1">
      <alignment horizontal="right" vertical="center" wrapText="1"/>
    </xf>
    <xf numFmtId="3" fontId="0" fillId="6" borderId="0" xfId="0" applyNumberFormat="1" applyFont="1" applyFill="1" applyBorder="1" applyAlignment="1">
      <alignment horizontal="right" vertical="center" wrapText="1"/>
    </xf>
    <xf numFmtId="1" fontId="5" fillId="6" borderId="0" xfId="0" applyNumberFormat="1" applyFont="1" applyFill="1"/>
    <xf numFmtId="1" fontId="4" fillId="3" borderId="0" xfId="10" applyNumberFormat="1" applyFont="1" applyFill="1" applyBorder="1"/>
    <xf numFmtId="0" fontId="62" fillId="0" borderId="0" xfId="10" applyFont="1" applyBorder="1"/>
    <xf numFmtId="0" fontId="5" fillId="6" borderId="9" xfId="0" applyFont="1" applyFill="1" applyBorder="1"/>
    <xf numFmtId="0" fontId="5" fillId="3" borderId="9" xfId="0" applyFont="1" applyFill="1" applyBorder="1"/>
    <xf numFmtId="0" fontId="3" fillId="0" borderId="27" xfId="10" applyFont="1" applyBorder="1"/>
    <xf numFmtId="3" fontId="3" fillId="4" borderId="28" xfId="10" applyNumberFormat="1" applyFont="1" applyFill="1" applyBorder="1"/>
    <xf numFmtId="3" fontId="3" fillId="0" borderId="28" xfId="0" applyNumberFormat="1" applyFont="1" applyBorder="1"/>
    <xf numFmtId="3" fontId="3" fillId="6" borderId="28" xfId="0" applyNumberFormat="1" applyFont="1" applyFill="1" applyBorder="1"/>
    <xf numFmtId="3" fontId="3" fillId="3" borderId="29" xfId="0" applyNumberFormat="1" applyFont="1" applyFill="1" applyBorder="1"/>
    <xf numFmtId="3" fontId="3" fillId="4" borderId="28" xfId="10" applyNumberFormat="1" applyFont="1" applyFill="1" applyBorder="1" applyAlignment="1">
      <alignment horizontal="right"/>
    </xf>
    <xf numFmtId="0" fontId="3" fillId="0" borderId="9" xfId="10" applyFont="1" applyBorder="1"/>
    <xf numFmtId="3" fontId="3" fillId="4" borderId="9" xfId="10" applyNumberFormat="1" applyFont="1" applyFill="1" applyBorder="1" applyAlignment="1">
      <alignment horizontal="right"/>
    </xf>
    <xf numFmtId="3" fontId="3" fillId="0" borderId="9" xfId="0" applyNumberFormat="1" applyFont="1" applyBorder="1"/>
    <xf numFmtId="3" fontId="3" fillId="6" borderId="9" xfId="0" applyNumberFormat="1" applyFont="1" applyFill="1" applyBorder="1"/>
    <xf numFmtId="3" fontId="3" fillId="3" borderId="9" xfId="0" applyNumberFormat="1" applyFont="1" applyFill="1" applyBorder="1"/>
    <xf numFmtId="3" fontId="3" fillId="4" borderId="9" xfId="10" applyNumberFormat="1" applyFont="1" applyFill="1" applyBorder="1"/>
    <xf numFmtId="0" fontId="3" fillId="0" borderId="9" xfId="10" applyFont="1" applyFill="1" applyBorder="1"/>
    <xf numFmtId="1" fontId="3" fillId="6" borderId="9" xfId="0" applyNumberFormat="1" applyFont="1" applyFill="1" applyBorder="1"/>
    <xf numFmtId="0" fontId="3" fillId="3" borderId="9" xfId="0" applyFont="1" applyFill="1" applyBorder="1"/>
    <xf numFmtId="0" fontId="3" fillId="0" borderId="3" xfId="10" applyFont="1" applyBorder="1" applyAlignment="1">
      <alignment vertical="center"/>
    </xf>
    <xf numFmtId="0" fontId="3" fillId="0" borderId="0" xfId="10" applyFont="1" applyBorder="1" applyAlignment="1">
      <alignment vertical="center"/>
    </xf>
    <xf numFmtId="0" fontId="3" fillId="0" borderId="9" xfId="0" applyFont="1" applyBorder="1"/>
    <xf numFmtId="167" fontId="3" fillId="0" borderId="9" xfId="0" quotePrefix="1" applyNumberFormat="1" applyFont="1" applyBorder="1" applyAlignment="1">
      <alignment horizontal="right"/>
    </xf>
    <xf numFmtId="166" fontId="5" fillId="0" borderId="17" xfId="6" applyNumberFormat="1" applyFont="1" applyBorder="1"/>
    <xf numFmtId="166" fontId="24" fillId="0" borderId="17" xfId="6" applyNumberFormat="1" applyFont="1" applyBorder="1"/>
    <xf numFmtId="0" fontId="5" fillId="0" borderId="9" xfId="0" applyFont="1" applyBorder="1"/>
    <xf numFmtId="166" fontId="5" fillId="0" borderId="24" xfId="6" applyNumberFormat="1" applyFont="1" applyBorder="1"/>
    <xf numFmtId="166" fontId="5" fillId="0" borderId="23" xfId="6" applyNumberFormat="1" applyFont="1" applyBorder="1"/>
    <xf numFmtId="0" fontId="3" fillId="0" borderId="0" xfId="0" applyFont="1" applyBorder="1" applyAlignment="1">
      <alignment vertical="center"/>
    </xf>
    <xf numFmtId="3" fontId="5" fillId="3" borderId="0" xfId="0" applyNumberFormat="1" applyFont="1" applyFill="1" applyBorder="1"/>
    <xf numFmtId="9" fontId="5" fillId="0" borderId="0" xfId="6" applyFont="1"/>
    <xf numFmtId="0" fontId="5" fillId="0" borderId="0" xfId="0" applyFont="1" applyFill="1" applyBorder="1"/>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166" fontId="6" fillId="0" borderId="0" xfId="6" applyNumberFormat="1" applyFont="1" applyFill="1" applyBorder="1"/>
    <xf numFmtId="166" fontId="5" fillId="0" borderId="0" xfId="0" applyNumberFormat="1" applyFont="1" applyFill="1" applyBorder="1"/>
    <xf numFmtId="166" fontId="24" fillId="0" borderId="0" xfId="0" applyNumberFormat="1" applyFont="1" applyFill="1" applyBorder="1"/>
    <xf numFmtId="166" fontId="6" fillId="0" borderId="0" xfId="6" applyNumberFormat="1" applyFill="1" applyBorder="1"/>
    <xf numFmtId="0" fontId="18" fillId="0" borderId="17" xfId="0" applyFont="1" applyBorder="1"/>
    <xf numFmtId="166" fontId="5" fillId="0" borderId="9" xfId="0" applyNumberFormat="1" applyFont="1" applyFill="1" applyBorder="1"/>
    <xf numFmtId="0" fontId="24" fillId="5" borderId="16" xfId="0" applyFont="1" applyFill="1" applyBorder="1"/>
    <xf numFmtId="0" fontId="5" fillId="0" borderId="23" xfId="0" applyFont="1" applyBorder="1" applyAlignment="1">
      <alignment horizontal="center" wrapText="1"/>
    </xf>
    <xf numFmtId="0" fontId="3" fillId="5" borderId="17" xfId="0" applyFont="1" applyFill="1" applyBorder="1" applyAlignment="1">
      <alignment horizontal="center" vertical="center" wrapText="1"/>
    </xf>
    <xf numFmtId="9" fontId="3" fillId="5" borderId="7" xfId="6" applyFont="1" applyFill="1" applyBorder="1" applyAlignment="1">
      <alignment vertical="center"/>
    </xf>
    <xf numFmtId="9" fontId="5" fillId="5" borderId="7" xfId="6" applyFont="1" applyFill="1" applyBorder="1" applyAlignment="1"/>
    <xf numFmtId="9" fontId="4" fillId="5" borderId="7" xfId="6" applyFont="1" applyFill="1" applyBorder="1" applyAlignment="1"/>
    <xf numFmtId="3" fontId="18" fillId="5" borderId="8" xfId="0" applyNumberFormat="1" applyFont="1" applyFill="1" applyBorder="1" applyAlignment="1">
      <alignment horizontal="right" vertical="center"/>
    </xf>
    <xf numFmtId="3" fontId="18" fillId="5" borderId="17" xfId="0" applyNumberFormat="1" applyFont="1" applyFill="1" applyBorder="1" applyAlignment="1">
      <alignment horizontal="right" vertical="center"/>
    </xf>
    <xf numFmtId="9" fontId="5" fillId="5" borderId="17" xfId="6" applyFont="1" applyFill="1" applyBorder="1" applyAlignment="1"/>
    <xf numFmtId="9" fontId="3" fillId="5" borderId="7" xfId="6" applyFont="1" applyFill="1" applyBorder="1" applyAlignment="1"/>
    <xf numFmtId="0" fontId="24" fillId="5" borderId="7" xfId="0" applyFont="1" applyFill="1" applyBorder="1" applyAlignment="1">
      <alignment horizontal="center"/>
    </xf>
    <xf numFmtId="3" fontId="17" fillId="5" borderId="7" xfId="0" applyNumberFormat="1" applyFont="1" applyFill="1" applyBorder="1"/>
    <xf numFmtId="3" fontId="24" fillId="5" borderId="7" xfId="0" applyNumberFormat="1" applyFont="1" applyFill="1" applyBorder="1"/>
    <xf numFmtId="166" fontId="17" fillId="5" borderId="7" xfId="6" applyNumberFormat="1" applyFont="1" applyFill="1" applyBorder="1"/>
    <xf numFmtId="166" fontId="24" fillId="5" borderId="7" xfId="0" applyNumberFormat="1" applyFont="1" applyFill="1" applyBorder="1"/>
    <xf numFmtId="0" fontId="24" fillId="5" borderId="17" xfId="0" applyFont="1" applyFill="1" applyBorder="1"/>
    <xf numFmtId="0" fontId="24" fillId="5" borderId="7" xfId="0" applyFont="1" applyFill="1" applyBorder="1"/>
    <xf numFmtId="166" fontId="22" fillId="5" borderId="17" xfId="6" applyNumberFormat="1" applyFont="1" applyFill="1" applyBorder="1"/>
    <xf numFmtId="166" fontId="22" fillId="5" borderId="7" xfId="6" applyNumberFormat="1" applyFont="1" applyFill="1" applyBorder="1"/>
    <xf numFmtId="0" fontId="4" fillId="5" borderId="7" xfId="0" applyFont="1" applyFill="1" applyBorder="1"/>
    <xf numFmtId="0" fontId="5" fillId="0" borderId="7" xfId="0" applyFont="1" applyBorder="1" applyAlignment="1">
      <alignment vertical="center"/>
    </xf>
    <xf numFmtId="3" fontId="5" fillId="0" borderId="0" xfId="0" applyNumberFormat="1" applyFont="1" applyFill="1" applyAlignment="1">
      <alignment vertical="center"/>
    </xf>
    <xf numFmtId="3" fontId="5" fillId="0" borderId="0" xfId="0" applyNumberFormat="1" applyFont="1" applyAlignment="1">
      <alignment vertical="center"/>
    </xf>
    <xf numFmtId="0" fontId="5" fillId="0" borderId="0" xfId="0" applyFont="1" applyAlignment="1">
      <alignment vertical="center"/>
    </xf>
    <xf numFmtId="0" fontId="5" fillId="0" borderId="7" xfId="0" applyFont="1" applyFill="1" applyBorder="1" applyAlignment="1">
      <alignment vertical="center" wrapText="1"/>
    </xf>
    <xf numFmtId="0" fontId="5" fillId="0" borderId="7" xfId="0" applyFont="1" applyFill="1" applyBorder="1" applyAlignment="1">
      <alignment vertical="center"/>
    </xf>
    <xf numFmtId="3" fontId="15" fillId="0" borderId="0" xfId="0" applyNumberFormat="1" applyFont="1" applyAlignment="1">
      <alignment vertical="center"/>
    </xf>
    <xf numFmtId="3" fontId="5" fillId="0" borderId="0" xfId="2" applyNumberFormat="1" applyFont="1"/>
    <xf numFmtId="3" fontId="24" fillId="0" borderId="0" xfId="2" applyNumberFormat="1" applyFont="1"/>
    <xf numFmtId="0" fontId="17" fillId="0" borderId="0" xfId="0" applyFont="1" applyAlignment="1">
      <alignment vertical="center"/>
    </xf>
    <xf numFmtId="0" fontId="3" fillId="4" borderId="9" xfId="10" applyFont="1" applyFill="1" applyBorder="1" applyAlignment="1">
      <alignment horizontal="center" vertical="center" wrapText="1"/>
    </xf>
    <xf numFmtId="0" fontId="3" fillId="0" borderId="9" xfId="10" applyFont="1" applyBorder="1" applyAlignment="1">
      <alignment horizontal="center" vertical="center" wrapText="1"/>
    </xf>
    <xf numFmtId="0" fontId="3" fillId="0" borderId="17" xfId="10" applyFont="1" applyBorder="1" applyAlignment="1">
      <alignment horizontal="center" vertical="center" wrapText="1"/>
    </xf>
    <xf numFmtId="0" fontId="3" fillId="0" borderId="23" xfId="10" applyFont="1" applyBorder="1" applyAlignment="1">
      <alignment horizontal="center" vertical="center" wrapText="1"/>
    </xf>
    <xf numFmtId="1" fontId="17" fillId="0" borderId="19" xfId="0" applyNumberFormat="1" applyFont="1" applyBorder="1"/>
    <xf numFmtId="0" fontId="18" fillId="0" borderId="0" xfId="10" applyFont="1"/>
    <xf numFmtId="0" fontId="3" fillId="0" borderId="0" xfId="0" applyFont="1" applyAlignment="1">
      <alignment horizont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6" borderId="12" xfId="0" applyFont="1" applyFill="1" applyBorder="1" applyAlignment="1">
      <alignment horizontal="center"/>
    </xf>
    <xf numFmtId="0" fontId="3" fillId="6" borderId="16" xfId="0" applyFont="1" applyFill="1" applyBorder="1" applyAlignment="1">
      <alignment horizontal="center" vertical="center" wrapText="1"/>
    </xf>
    <xf numFmtId="166" fontId="6" fillId="0" borderId="0" xfId="6" applyNumberFormat="1" applyBorder="1"/>
    <xf numFmtId="166" fontId="6" fillId="0" borderId="0" xfId="6" applyNumberFormat="1"/>
    <xf numFmtId="166" fontId="5" fillId="0" borderId="0" xfId="0" applyNumberFormat="1" applyFont="1" applyBorder="1"/>
    <xf numFmtId="166" fontId="5" fillId="0" borderId="0" xfId="0" applyNumberFormat="1" applyFont="1"/>
    <xf numFmtId="0" fontId="5" fillId="0" borderId="0" xfId="0" applyFont="1" applyBorder="1" applyAlignment="1">
      <alignment horizontal="right"/>
    </xf>
    <xf numFmtId="0" fontId="4" fillId="0" borderId="0" xfId="0" applyFont="1" applyBorder="1"/>
    <xf numFmtId="166" fontId="41" fillId="0" borderId="0" xfId="6" applyNumberFormat="1" applyFont="1" applyBorder="1"/>
    <xf numFmtId="166" fontId="3" fillId="0" borderId="0" xfId="0" applyNumberFormat="1" applyFont="1" applyBorder="1"/>
    <xf numFmtId="166" fontId="3" fillId="0" borderId="0" xfId="0" applyNumberFormat="1" applyFont="1"/>
    <xf numFmtId="3" fontId="5" fillId="0" borderId="7" xfId="0" applyNumberFormat="1" applyFont="1" applyFill="1" applyBorder="1" applyAlignment="1">
      <alignment horizontal="right"/>
    </xf>
    <xf numFmtId="1" fontId="5" fillId="0" borderId="7" xfId="0" applyNumberFormat="1" applyFont="1" applyBorder="1" applyAlignment="1">
      <alignment horizontal="right"/>
    </xf>
    <xf numFmtId="1" fontId="5" fillId="0" borderId="21" xfId="0" applyNumberFormat="1" applyFont="1" applyBorder="1" applyAlignment="1">
      <alignment horizontal="right"/>
    </xf>
    <xf numFmtId="1" fontId="3" fillId="0" borderId="26" xfId="0" applyNumberFormat="1" applyFont="1" applyBorder="1" applyAlignment="1">
      <alignment horizontal="right"/>
    </xf>
    <xf numFmtId="9" fontId="6" fillId="0" borderId="0" xfId="16" applyFont="1" applyFill="1" applyBorder="1"/>
    <xf numFmtId="0" fontId="3" fillId="0" borderId="0" xfId="17" applyFont="1" applyAlignment="1">
      <alignment horizontal="center"/>
    </xf>
    <xf numFmtId="0" fontId="3" fillId="0" borderId="9" xfId="17" applyFont="1" applyBorder="1" applyAlignment="1">
      <alignment horizontal="center"/>
    </xf>
    <xf numFmtId="3" fontId="3" fillId="0" borderId="10" xfId="17" applyNumberFormat="1" applyFont="1" applyBorder="1" applyAlignment="1">
      <alignment horizontal="center"/>
    </xf>
    <xf numFmtId="3" fontId="5" fillId="0" borderId="0" xfId="17" applyNumberFormat="1" applyFont="1" applyAlignment="1">
      <alignment horizontal="center"/>
    </xf>
    <xf numFmtId="3" fontId="5" fillId="0" borderId="9" xfId="17" applyNumberFormat="1" applyFont="1" applyBorder="1" applyAlignment="1">
      <alignment horizontal="center"/>
    </xf>
    <xf numFmtId="0" fontId="15" fillId="0" borderId="0" xfId="17" applyFont="1"/>
    <xf numFmtId="0" fontId="4" fillId="0" borderId="0" xfId="17" applyFont="1"/>
    <xf numFmtId="0" fontId="3" fillId="0" borderId="7" xfId="0" applyFont="1" applyBorder="1" applyAlignment="1">
      <alignment horizontal="center" vertical="center"/>
    </xf>
    <xf numFmtId="0" fontId="3" fillId="0" borderId="0" xfId="0" applyFont="1" applyAlignment="1">
      <alignment horizontal="center"/>
    </xf>
    <xf numFmtId="0" fontId="3" fillId="0" borderId="9" xfId="0" applyFont="1" applyFill="1" applyBorder="1" applyAlignment="1">
      <alignment horizontal="center" vertical="center" wrapText="1"/>
    </xf>
    <xf numFmtId="3" fontId="3" fillId="0" borderId="0" xfId="0" applyNumberFormat="1" applyFont="1" applyBorder="1" applyAlignment="1">
      <alignment horizontal="right" vertical="center"/>
    </xf>
    <xf numFmtId="3" fontId="3" fillId="0" borderId="0" xfId="6" applyNumberFormat="1" applyFont="1" applyBorder="1" applyAlignment="1">
      <alignment vertical="center"/>
    </xf>
    <xf numFmtId="3" fontId="3" fillId="0" borderId="0" xfId="6" applyNumberFormat="1" applyFont="1" applyBorder="1" applyAlignment="1"/>
    <xf numFmtId="166" fontId="3" fillId="0" borderId="0" xfId="6" applyNumberFormat="1" applyFont="1" applyBorder="1"/>
    <xf numFmtId="1" fontId="5" fillId="0" borderId="0" xfId="0" applyNumberFormat="1" applyFont="1" applyBorder="1" applyAlignment="1"/>
    <xf numFmtId="1" fontId="5" fillId="0" borderId="0" xfId="0" applyNumberFormat="1" applyFont="1" applyFill="1" applyBorder="1" applyAlignment="1"/>
    <xf numFmtId="1" fontId="4" fillId="0" borderId="17" xfId="0" applyNumberFormat="1" applyFont="1" applyBorder="1" applyAlignment="1"/>
    <xf numFmtId="1" fontId="5" fillId="0" borderId="0" xfId="0" applyNumberFormat="1" applyFont="1" applyFill="1" applyBorder="1"/>
    <xf numFmtId="3" fontId="3" fillId="0" borderId="0" xfId="0" applyNumberFormat="1" applyFont="1" applyBorder="1"/>
    <xf numFmtId="166" fontId="4" fillId="0" borderId="0" xfId="0" applyNumberFormat="1" applyFont="1" applyFill="1" applyBorder="1"/>
    <xf numFmtId="0" fontId="3" fillId="0" borderId="17" xfId="0" applyFont="1" applyFill="1" applyBorder="1" applyAlignment="1">
      <alignment horizontal="center" vertical="center" wrapText="1"/>
    </xf>
    <xf numFmtId="3" fontId="3" fillId="0" borderId="8" xfId="0" applyNumberFormat="1" applyFont="1" applyBorder="1" applyAlignment="1">
      <alignment vertical="center"/>
    </xf>
    <xf numFmtId="3" fontId="5" fillId="0" borderId="7" xfId="0" applyNumberFormat="1" applyFont="1" applyBorder="1" applyAlignment="1"/>
    <xf numFmtId="3" fontId="5" fillId="0" borderId="17" xfId="0" applyNumberFormat="1" applyFont="1" applyBorder="1" applyAlignment="1"/>
    <xf numFmtId="3" fontId="18" fillId="0" borderId="8" xfId="0" applyNumberFormat="1" applyFont="1" applyBorder="1" applyAlignment="1">
      <alignment horizontal="right" vertical="center"/>
    </xf>
    <xf numFmtId="3" fontId="18" fillId="0" borderId="17" xfId="0" applyNumberFormat="1" applyFont="1" applyBorder="1" applyAlignment="1">
      <alignment horizontal="right" vertical="center"/>
    </xf>
    <xf numFmtId="3" fontId="3" fillId="0" borderId="8" xfId="0" applyNumberFormat="1" applyFont="1" applyBorder="1" applyAlignment="1"/>
    <xf numFmtId="3" fontId="24" fillId="0" borderId="7" xfId="0" applyNumberFormat="1" applyFont="1" applyBorder="1" applyAlignment="1">
      <alignment horizontal="center"/>
    </xf>
    <xf numFmtId="3" fontId="3" fillId="0" borderId="7" xfId="0" applyNumberFormat="1" applyFont="1" applyFill="1" applyBorder="1"/>
    <xf numFmtId="0" fontId="24" fillId="0" borderId="17" xfId="0" applyFont="1" applyBorder="1"/>
    <xf numFmtId="0" fontId="24" fillId="0" borderId="7" xfId="0" applyFont="1" applyBorder="1"/>
    <xf numFmtId="3" fontId="5" fillId="5" borderId="0" xfId="0" applyNumberFormat="1" applyFont="1" applyFill="1" applyBorder="1"/>
    <xf numFmtId="3" fontId="3" fillId="5" borderId="0" xfId="0" applyNumberFormat="1" applyFont="1" applyFill="1" applyBorder="1"/>
    <xf numFmtId="3" fontId="5" fillId="0" borderId="7" xfId="0" applyNumberFormat="1" applyFont="1" applyFill="1" applyBorder="1" applyAlignment="1"/>
    <xf numFmtId="3" fontId="24" fillId="0" borderId="8" xfId="0" applyNumberFormat="1" applyFont="1" applyFill="1" applyBorder="1" applyAlignment="1">
      <alignment horizontal="right" vertical="center"/>
    </xf>
    <xf numFmtId="3" fontId="24" fillId="0" borderId="17" xfId="0" applyNumberFormat="1" applyFont="1" applyFill="1" applyBorder="1" applyAlignment="1">
      <alignment horizontal="right" vertical="center"/>
    </xf>
    <xf numFmtId="3" fontId="3" fillId="0" borderId="7" xfId="0" applyNumberFormat="1" applyFont="1" applyFill="1" applyBorder="1" applyAlignment="1"/>
    <xf numFmtId="3" fontId="24" fillId="0" borderId="7" xfId="0" applyNumberFormat="1" applyFont="1" applyFill="1" applyBorder="1" applyAlignment="1">
      <alignment horizontal="center"/>
    </xf>
    <xf numFmtId="166" fontId="3" fillId="0" borderId="7" xfId="6" applyNumberFormat="1" applyFont="1" applyFill="1" applyBorder="1"/>
    <xf numFmtId="166" fontId="5" fillId="0" borderId="7" xfId="0" applyNumberFormat="1" applyFont="1" applyFill="1" applyBorder="1" applyAlignment="1">
      <alignment horizontal="right"/>
    </xf>
    <xf numFmtId="0" fontId="24" fillId="0" borderId="17" xfId="0" applyFont="1" applyFill="1" applyBorder="1"/>
    <xf numFmtId="0" fontId="24" fillId="0" borderId="7" xfId="0" applyFont="1" applyFill="1" applyBorder="1"/>
    <xf numFmtId="166" fontId="22" fillId="0" borderId="7" xfId="6" applyNumberFormat="1" applyFont="1" applyFill="1" applyBorder="1"/>
    <xf numFmtId="166" fontId="22" fillId="0" borderId="17" xfId="6" applyNumberFormat="1" applyFont="1" applyFill="1" applyBorder="1"/>
    <xf numFmtId="3" fontId="5" fillId="5" borderId="12" xfId="6" applyNumberFormat="1" applyFont="1" applyFill="1" applyBorder="1" applyAlignment="1"/>
    <xf numFmtId="3" fontId="4" fillId="5" borderId="12" xfId="6" applyNumberFormat="1" applyFont="1" applyFill="1" applyBorder="1" applyAlignment="1"/>
    <xf numFmtId="3" fontId="18" fillId="5" borderId="15" xfId="0" applyNumberFormat="1" applyFont="1" applyFill="1" applyBorder="1" applyAlignment="1">
      <alignment horizontal="right" vertical="center"/>
    </xf>
    <xf numFmtId="3" fontId="18" fillId="5" borderId="16" xfId="0" applyNumberFormat="1" applyFont="1" applyFill="1" applyBorder="1" applyAlignment="1">
      <alignment horizontal="right" vertical="center"/>
    </xf>
    <xf numFmtId="3" fontId="5" fillId="5" borderId="16" xfId="6" applyNumberFormat="1" applyFont="1" applyFill="1" applyBorder="1" applyAlignment="1"/>
    <xf numFmtId="0" fontId="24" fillId="5" borderId="12" xfId="0" applyFont="1" applyFill="1" applyBorder="1" applyAlignment="1">
      <alignment horizontal="center"/>
    </xf>
    <xf numFmtId="3" fontId="24" fillId="5" borderId="12" xfId="0" applyNumberFormat="1" applyFont="1" applyFill="1" applyBorder="1"/>
    <xf numFmtId="166" fontId="24" fillId="5" borderId="12" xfId="0" applyNumberFormat="1" applyFont="1" applyFill="1" applyBorder="1"/>
    <xf numFmtId="0" fontId="3" fillId="0" borderId="7" xfId="0" applyFont="1" applyFill="1" applyBorder="1" applyAlignment="1">
      <alignment horizontal="center" vertical="center"/>
    </xf>
    <xf numFmtId="166" fontId="27" fillId="5" borderId="12" xfId="6" applyNumberFormat="1" applyFont="1" applyFill="1" applyBorder="1"/>
    <xf numFmtId="166" fontId="24" fillId="5" borderId="16" xfId="6" applyNumberFormat="1" applyFont="1" applyFill="1" applyBorder="1"/>
    <xf numFmtId="0" fontId="4" fillId="0" borderId="12" xfId="0" applyFont="1" applyBorder="1" applyAlignment="1">
      <alignment horizontal="left"/>
    </xf>
    <xf numFmtId="0" fontId="5" fillId="0" borderId="0" xfId="0" applyFont="1" applyBorder="1" applyAlignment="1">
      <alignment horizontal="center"/>
    </xf>
    <xf numFmtId="0" fontId="24" fillId="0" borderId="0" xfId="0" applyFont="1" applyFill="1" applyBorder="1" applyAlignment="1">
      <alignment horizontal="left" indent="1"/>
    </xf>
    <xf numFmtId="0" fontId="18" fillId="0" borderId="0" xfId="0" applyFont="1" applyBorder="1" applyAlignment="1">
      <alignment horizontal="left" indent="1"/>
    </xf>
    <xf numFmtId="0" fontId="3" fillId="5" borderId="16" xfId="0" applyFont="1" applyFill="1" applyBorder="1" applyAlignment="1">
      <alignment horizontal="center"/>
    </xf>
    <xf numFmtId="0" fontId="5" fillId="5" borderId="17" xfId="0" applyFont="1" applyFill="1" applyBorder="1"/>
    <xf numFmtId="0" fontId="5" fillId="5" borderId="0" xfId="0" applyFont="1" applyFill="1" applyAlignment="1">
      <alignment horizontal="right" wrapText="1"/>
    </xf>
    <xf numFmtId="0" fontId="5" fillId="5" borderId="0" xfId="0" applyFont="1" applyFill="1" applyAlignment="1">
      <alignment horizontal="center" vertical="center"/>
    </xf>
    <xf numFmtId="9" fontId="5" fillId="5" borderId="7" xfId="6" applyFont="1" applyFill="1" applyBorder="1"/>
    <xf numFmtId="3" fontId="5" fillId="5" borderId="6" xfId="0" applyNumberFormat="1" applyFont="1" applyFill="1" applyBorder="1"/>
    <xf numFmtId="3" fontId="3" fillId="5" borderId="6" xfId="0" applyNumberFormat="1" applyFont="1" applyFill="1" applyBorder="1"/>
    <xf numFmtId="0" fontId="5" fillId="5" borderId="12" xfId="0" applyFont="1" applyFill="1" applyBorder="1"/>
    <xf numFmtId="0" fontId="61" fillId="5" borderId="7" xfId="0" quotePrefix="1" applyFont="1" applyFill="1" applyBorder="1" applyAlignment="1">
      <alignment horizontal="right"/>
    </xf>
    <xf numFmtId="0" fontId="5" fillId="5" borderId="0" xfId="0" applyFont="1" applyFill="1"/>
    <xf numFmtId="3" fontId="5" fillId="5" borderId="0" xfId="0" applyNumberFormat="1" applyFont="1" applyFill="1"/>
    <xf numFmtId="3" fontId="5" fillId="5" borderId="7" xfId="0" applyNumberFormat="1" applyFont="1" applyFill="1" applyBorder="1"/>
    <xf numFmtId="1" fontId="5" fillId="5" borderId="12" xfId="0" applyNumberFormat="1" applyFont="1" applyFill="1" applyBorder="1"/>
    <xf numFmtId="1" fontId="5" fillId="5" borderId="7" xfId="0" applyNumberFormat="1" applyFont="1" applyFill="1" applyBorder="1"/>
    <xf numFmtId="0" fontId="5" fillId="5" borderId="7" xfId="0" applyFont="1" applyFill="1" applyBorder="1"/>
    <xf numFmtId="0" fontId="5" fillId="5" borderId="16" xfId="0" applyFont="1" applyFill="1" applyBorder="1"/>
    <xf numFmtId="9" fontId="5" fillId="5" borderId="7" xfId="6" applyFont="1" applyFill="1" applyBorder="1" applyAlignment="1">
      <alignment vertical="center"/>
    </xf>
    <xf numFmtId="168" fontId="5" fillId="5" borderId="0" xfId="0" applyNumberFormat="1" applyFont="1" applyFill="1"/>
    <xf numFmtId="168" fontId="5" fillId="5" borderId="6" xfId="0" applyNumberFormat="1" applyFont="1" applyFill="1" applyBorder="1"/>
    <xf numFmtId="0" fontId="5" fillId="5" borderId="6" xfId="0" applyFont="1" applyFill="1" applyBorder="1"/>
    <xf numFmtId="1" fontId="5" fillId="5" borderId="0" xfId="0" applyNumberFormat="1" applyFont="1" applyFill="1"/>
    <xf numFmtId="3" fontId="3" fillId="5" borderId="0" xfId="0" applyNumberFormat="1" applyFont="1" applyFill="1"/>
    <xf numFmtId="1" fontId="3" fillId="5" borderId="12" xfId="0" applyNumberFormat="1" applyFont="1" applyFill="1" applyBorder="1"/>
    <xf numFmtId="0" fontId="3" fillId="6" borderId="9" xfId="0" applyFont="1" applyFill="1" applyBorder="1" applyAlignment="1">
      <alignment horizontal="center" vertical="center" wrapText="1"/>
    </xf>
    <xf numFmtId="0" fontId="3" fillId="0" borderId="0" xfId="0" applyFont="1" applyFill="1" applyBorder="1" applyAlignment="1">
      <alignment horizontal="center"/>
    </xf>
    <xf numFmtId="0" fontId="3" fillId="0" borderId="23" xfId="10" applyFont="1" applyFill="1" applyBorder="1" applyAlignment="1">
      <alignment horizontal="center" vertical="center" wrapText="1"/>
    </xf>
    <xf numFmtId="3" fontId="24" fillId="0" borderId="6" xfId="0" applyNumberFormat="1" applyFont="1" applyFill="1" applyBorder="1"/>
    <xf numFmtId="9" fontId="5" fillId="5" borderId="12" xfId="6" applyFont="1" applyFill="1" applyBorder="1"/>
    <xf numFmtId="3" fontId="5" fillId="0" borderId="0" xfId="6" applyNumberFormat="1" applyFont="1" applyFill="1" applyBorder="1"/>
    <xf numFmtId="3" fontId="3" fillId="0" borderId="6" xfId="6" applyNumberFormat="1" applyFont="1" applyFill="1" applyBorder="1" applyAlignment="1">
      <alignment vertical="center"/>
    </xf>
    <xf numFmtId="3" fontId="33" fillId="0" borderId="0" xfId="6" applyNumberFormat="1" applyFont="1" applyFill="1" applyBorder="1"/>
    <xf numFmtId="3" fontId="3" fillId="0" borderId="6" xfId="6" applyNumberFormat="1" applyFont="1" applyFill="1" applyBorder="1"/>
    <xf numFmtId="3" fontId="33" fillId="3" borderId="0" xfId="0" applyNumberFormat="1" applyFont="1" applyFill="1"/>
    <xf numFmtId="166" fontId="57" fillId="3" borderId="0" xfId="6" applyNumberFormat="1" applyFont="1" applyFill="1" applyAlignment="1">
      <alignment horizontal="center"/>
    </xf>
    <xf numFmtId="166" fontId="57" fillId="3" borderId="9" xfId="6" applyNumberFormat="1" applyFont="1" applyFill="1" applyBorder="1" applyAlignment="1">
      <alignment horizontal="center"/>
    </xf>
    <xf numFmtId="166" fontId="59" fillId="3" borderId="0" xfId="6" applyNumberFormat="1" applyFont="1" applyFill="1" applyAlignment="1">
      <alignment horizontal="center" vertical="center"/>
    </xf>
    <xf numFmtId="166" fontId="27" fillId="3" borderId="9" xfId="6" applyNumberFormat="1" applyFont="1" applyFill="1" applyBorder="1" applyAlignment="1">
      <alignment horizontal="center"/>
    </xf>
    <xf numFmtId="166" fontId="27" fillId="3" borderId="0" xfId="6" applyNumberFormat="1" applyFont="1" applyFill="1" applyAlignment="1">
      <alignment horizontal="center"/>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166" fontId="27" fillId="0" borderId="0" xfId="0" applyNumberFormat="1" applyFont="1" applyFill="1" applyBorder="1" applyAlignment="1">
      <alignment horizontal="center" vertical="center"/>
    </xf>
    <xf numFmtId="166" fontId="24" fillId="0" borderId="0" xfId="0" applyNumberFormat="1" applyFont="1" applyFill="1" applyBorder="1" applyAlignment="1">
      <alignment horizontal="center"/>
    </xf>
    <xf numFmtId="166" fontId="27" fillId="0" borderId="0" xfId="6" applyNumberFormat="1" applyFont="1" applyFill="1" applyBorder="1" applyAlignment="1">
      <alignment horizontal="center"/>
    </xf>
    <xf numFmtId="0" fontId="3" fillId="0" borderId="0" xfId="0" applyFont="1" applyFill="1" applyBorder="1" applyAlignment="1"/>
    <xf numFmtId="9" fontId="3" fillId="0" borderId="0" xfId="6" applyFont="1"/>
    <xf numFmtId="9" fontId="3" fillId="0" borderId="0" xfId="6" applyFont="1" applyAlignment="1">
      <alignment vertical="center"/>
    </xf>
    <xf numFmtId="9" fontId="3" fillId="0" borderId="9" xfId="6" applyFont="1" applyBorder="1"/>
    <xf numFmtId="9" fontId="5" fillId="0" borderId="0" xfId="6" applyNumberFormat="1" applyFont="1"/>
    <xf numFmtId="9" fontId="5" fillId="0" borderId="9" xfId="6" applyNumberFormat="1" applyFont="1" applyBorder="1"/>
    <xf numFmtId="0" fontId="3" fillId="0" borderId="16" xfId="0" applyFont="1" applyBorder="1"/>
    <xf numFmtId="9" fontId="5" fillId="0" borderId="12" xfId="0" applyNumberFormat="1" applyFont="1" applyBorder="1" applyAlignment="1">
      <alignment vertical="center"/>
    </xf>
    <xf numFmtId="0" fontId="37" fillId="5" borderId="0" xfId="0" applyFont="1" applyFill="1" applyBorder="1" applyAlignment="1">
      <alignment horizontal="center"/>
    </xf>
    <xf numFmtId="1" fontId="5" fillId="5" borderId="0" xfId="0" applyNumberFormat="1" applyFont="1" applyFill="1" applyBorder="1" applyAlignment="1">
      <alignment horizontal="center"/>
    </xf>
    <xf numFmtId="9" fontId="5" fillId="5" borderId="0" xfId="0" applyNumberFormat="1" applyFont="1" applyFill="1" applyBorder="1" applyAlignment="1">
      <alignment horizontal="center"/>
    </xf>
    <xf numFmtId="3" fontId="3" fillId="5" borderId="18" xfId="0" applyNumberFormat="1" applyFont="1" applyFill="1" applyBorder="1" applyAlignment="1">
      <alignment horizontal="center"/>
    </xf>
    <xf numFmtId="0" fontId="68" fillId="7" borderId="0" xfId="15" applyFont="1" applyFill="1" applyAlignment="1">
      <alignment horizontal="center"/>
    </xf>
    <xf numFmtId="0" fontId="68" fillId="0" borderId="0" xfId="15" applyFont="1" applyAlignment="1">
      <alignment horizontal="center"/>
    </xf>
    <xf numFmtId="3" fontId="27" fillId="0" borderId="0" xfId="0" applyNumberFormat="1" applyFont="1"/>
    <xf numFmtId="3" fontId="27" fillId="0" borderId="9" xfId="0" applyNumberFormat="1" applyFont="1" applyBorder="1"/>
    <xf numFmtId="0" fontId="5" fillId="0" borderId="0" xfId="0" applyFont="1" applyFill="1" applyBorder="1" applyAlignment="1">
      <alignment horizontal="center" vertical="center" wrapText="1"/>
    </xf>
    <xf numFmtId="0" fontId="5" fillId="0" borderId="0" xfId="0" applyFont="1" applyAlignment="1">
      <alignment horizontal="center" vertical="center"/>
    </xf>
    <xf numFmtId="0" fontId="5" fillId="0" borderId="24" xfId="0" applyFont="1" applyBorder="1" applyAlignment="1">
      <alignment horizontal="right"/>
    </xf>
    <xf numFmtId="0" fontId="5" fillId="0" borderId="19" xfId="0" applyFont="1" applyBorder="1" applyAlignment="1">
      <alignment horizontal="center" vertical="center"/>
    </xf>
    <xf numFmtId="3" fontId="3" fillId="0" borderId="23" xfId="0" applyNumberFormat="1" applyFont="1" applyBorder="1"/>
    <xf numFmtId="3" fontId="27" fillId="0" borderId="19" xfId="0" applyNumberFormat="1" applyFont="1" applyBorder="1"/>
    <xf numFmtId="3" fontId="27" fillId="0" borderId="23" xfId="0" applyNumberFormat="1" applyFont="1" applyBorder="1"/>
    <xf numFmtId="9" fontId="5" fillId="5" borderId="7" xfId="6" applyNumberFormat="1" applyFont="1" applyFill="1" applyBorder="1"/>
    <xf numFmtId="3" fontId="24" fillId="0" borderId="0" xfId="6" applyNumberFormat="1" applyFont="1" applyFill="1" applyBorder="1"/>
    <xf numFmtId="0" fontId="3" fillId="5" borderId="6" xfId="0" applyFont="1" applyFill="1" applyBorder="1"/>
    <xf numFmtId="0" fontId="0" fillId="0" borderId="15" xfId="0" applyBorder="1"/>
    <xf numFmtId="0" fontId="5" fillId="0" borderId="6" xfId="0" applyFont="1" applyFill="1" applyBorder="1" applyAlignment="1">
      <alignment horizontal="left" indent="1"/>
    </xf>
    <xf numFmtId="9" fontId="6" fillId="0" borderId="6" xfId="6" applyBorder="1"/>
    <xf numFmtId="9" fontId="0" fillId="0" borderId="8" xfId="0" applyNumberFormat="1" applyBorder="1"/>
    <xf numFmtId="0" fontId="0" fillId="0" borderId="12" xfId="0" applyBorder="1"/>
    <xf numFmtId="9" fontId="0" fillId="0" borderId="7" xfId="0" applyNumberFormat="1" applyBorder="1"/>
    <xf numFmtId="0" fontId="0" fillId="0" borderId="16" xfId="0" applyBorder="1"/>
    <xf numFmtId="3" fontId="5" fillId="5" borderId="9" xfId="0" applyNumberFormat="1" applyFont="1" applyFill="1" applyBorder="1"/>
    <xf numFmtId="9" fontId="6" fillId="0" borderId="9" xfId="6" applyBorder="1"/>
    <xf numFmtId="9" fontId="0" fillId="0" borderId="17" xfId="0" applyNumberFormat="1" applyBorder="1"/>
    <xf numFmtId="0" fontId="5" fillId="0" borderId="6" xfId="0" applyFont="1" applyBorder="1" applyAlignment="1">
      <alignment horizontal="left" indent="1"/>
    </xf>
    <xf numFmtId="9" fontId="6" fillId="8" borderId="6" xfId="6" applyFill="1" applyBorder="1"/>
    <xf numFmtId="9" fontId="0" fillId="8" borderId="8" xfId="0" applyNumberFormat="1" applyFill="1" applyBorder="1"/>
    <xf numFmtId="9" fontId="6" fillId="8" borderId="0" xfId="6" applyFill="1" applyBorder="1"/>
    <xf numFmtId="9" fontId="0" fillId="8" borderId="7" xfId="0" applyNumberFormat="1" applyFill="1" applyBorder="1"/>
    <xf numFmtId="9" fontId="6" fillId="8" borderId="9" xfId="6" applyFill="1" applyBorder="1"/>
    <xf numFmtId="9" fontId="0" fillId="8" borderId="17" xfId="0" applyNumberFormat="1" applyFill="1" applyBorder="1"/>
    <xf numFmtId="0" fontId="0" fillId="8" borderId="15" xfId="0" applyFill="1" applyBorder="1"/>
    <xf numFmtId="0" fontId="5" fillId="8" borderId="6" xfId="0" applyFont="1" applyFill="1" applyBorder="1" applyAlignment="1">
      <alignment horizontal="left" indent="1"/>
    </xf>
    <xf numFmtId="0" fontId="0" fillId="8" borderId="12" xfId="0" applyFill="1" applyBorder="1"/>
    <xf numFmtId="0" fontId="5" fillId="8" borderId="0" xfId="0" applyFont="1" applyFill="1" applyBorder="1" applyAlignment="1">
      <alignment horizontal="left" indent="1"/>
    </xf>
    <xf numFmtId="0" fontId="0" fillId="8" borderId="16" xfId="0" applyFill="1" applyBorder="1"/>
    <xf numFmtId="0" fontId="5" fillId="8" borderId="9" xfId="0" applyFont="1" applyFill="1" applyBorder="1" applyAlignment="1">
      <alignment horizontal="left" indent="1"/>
    </xf>
    <xf numFmtId="0" fontId="5" fillId="0" borderId="9" xfId="0" applyFont="1" applyFill="1" applyBorder="1" applyAlignment="1">
      <alignment horizontal="left" indent="1"/>
    </xf>
    <xf numFmtId="0" fontId="0" fillId="6" borderId="12" xfId="0" applyFill="1" applyBorder="1"/>
    <xf numFmtId="0" fontId="5" fillId="6" borderId="0" xfId="0" applyFont="1" applyFill="1" applyBorder="1" applyAlignment="1">
      <alignment horizontal="left" indent="1"/>
    </xf>
    <xf numFmtId="9" fontId="6" fillId="6" borderId="0" xfId="6" applyFill="1" applyBorder="1"/>
    <xf numFmtId="9" fontId="0" fillId="6" borderId="7" xfId="0" applyNumberFormat="1" applyFill="1" applyBorder="1"/>
    <xf numFmtId="0" fontId="5" fillId="6" borderId="0" xfId="0" applyFont="1" applyFill="1" applyBorder="1" applyAlignment="1">
      <alignment horizontal="left" wrapText="1" indent="1"/>
    </xf>
    <xf numFmtId="0" fontId="0" fillId="6" borderId="16" xfId="0" applyFill="1" applyBorder="1"/>
    <xf numFmtId="0" fontId="5" fillId="6" borderId="9" xfId="0" applyFont="1" applyFill="1" applyBorder="1" applyAlignment="1">
      <alignment horizontal="left" indent="1"/>
    </xf>
    <xf numFmtId="9" fontId="6" fillId="6" borderId="9" xfId="6" applyFill="1" applyBorder="1"/>
    <xf numFmtId="9" fontId="0" fillId="6" borderId="17" xfId="0" applyNumberFormat="1" applyFill="1" applyBorder="1"/>
    <xf numFmtId="0" fontId="0" fillId="6" borderId="15" xfId="0" applyFill="1" applyBorder="1"/>
    <xf numFmtId="0" fontId="5" fillId="6" borderId="6" xfId="0" applyFont="1" applyFill="1" applyBorder="1" applyAlignment="1">
      <alignment horizontal="left" indent="1"/>
    </xf>
    <xf numFmtId="9" fontId="6" fillId="6" borderId="6" xfId="6" applyFill="1" applyBorder="1"/>
    <xf numFmtId="9" fontId="0" fillId="6" borderId="8" xfId="0" applyNumberFormat="1" applyFill="1" applyBorder="1"/>
    <xf numFmtId="9" fontId="41" fillId="8" borderId="7" xfId="0" applyNumberFormat="1" applyFont="1" applyFill="1" applyBorder="1"/>
    <xf numFmtId="9" fontId="41" fillId="6" borderId="8" xfId="0" applyNumberFormat="1" applyFont="1" applyFill="1" applyBorder="1"/>
    <xf numFmtId="0" fontId="0" fillId="9" borderId="12" xfId="0" applyFill="1" applyBorder="1"/>
    <xf numFmtId="0" fontId="5" fillId="9" borderId="0" xfId="0" applyFont="1" applyFill="1" applyBorder="1" applyAlignment="1">
      <alignment horizontal="left" indent="1"/>
    </xf>
    <xf numFmtId="9" fontId="6" fillId="9" borderId="0" xfId="6" applyFill="1" applyBorder="1"/>
    <xf numFmtId="9" fontId="0" fillId="9" borderId="7" xfId="0" applyNumberFormat="1" applyFill="1" applyBorder="1"/>
    <xf numFmtId="0" fontId="0" fillId="9" borderId="16" xfId="0" applyFill="1" applyBorder="1"/>
    <xf numFmtId="0" fontId="5" fillId="9" borderId="9" xfId="0" applyFont="1" applyFill="1" applyBorder="1" applyAlignment="1">
      <alignment horizontal="left" indent="1"/>
    </xf>
    <xf numFmtId="9" fontId="6" fillId="9" borderId="9" xfId="6" applyFill="1" applyBorder="1"/>
    <xf numFmtId="9" fontId="0" fillId="9" borderId="17" xfId="0" applyNumberFormat="1" applyFill="1" applyBorder="1"/>
    <xf numFmtId="0" fontId="0" fillId="9" borderId="15" xfId="0" applyFill="1" applyBorder="1"/>
    <xf numFmtId="0" fontId="5" fillId="9" borderId="6" xfId="0" applyFont="1" applyFill="1" applyBorder="1" applyAlignment="1">
      <alignment horizontal="left" indent="1"/>
    </xf>
    <xf numFmtId="9" fontId="6" fillId="9" borderId="6" xfId="6" applyFill="1" applyBorder="1"/>
    <xf numFmtId="9" fontId="41" fillId="9" borderId="8" xfId="0" applyNumberFormat="1" applyFont="1" applyFill="1" applyBorder="1"/>
    <xf numFmtId="0" fontId="0" fillId="3" borderId="16" xfId="0" applyFill="1" applyBorder="1"/>
    <xf numFmtId="0" fontId="5" fillId="3" borderId="9" xfId="0" applyFont="1" applyFill="1" applyBorder="1" applyAlignment="1">
      <alignment horizontal="left" indent="1"/>
    </xf>
    <xf numFmtId="9" fontId="6" fillId="3" borderId="9" xfId="6" applyFill="1" applyBorder="1"/>
    <xf numFmtId="9" fontId="0" fillId="3" borderId="17" xfId="0" applyNumberFormat="1" applyFill="1" applyBorder="1"/>
    <xf numFmtId="0" fontId="0" fillId="3" borderId="15" xfId="0" applyFill="1" applyBorder="1"/>
    <xf numFmtId="0" fontId="5" fillId="3" borderId="6" xfId="0" applyFont="1" applyFill="1" applyBorder="1" applyAlignment="1">
      <alignment horizontal="left" indent="1"/>
    </xf>
    <xf numFmtId="9" fontId="6" fillId="3" borderId="6" xfId="6" applyFill="1" applyBorder="1"/>
    <xf numFmtId="9" fontId="0" fillId="3" borderId="8" xfId="0" applyNumberFormat="1" applyFill="1" applyBorder="1"/>
    <xf numFmtId="0" fontId="0" fillId="3" borderId="12" xfId="0" applyFill="1" applyBorder="1"/>
    <xf numFmtId="0" fontId="5" fillId="3" borderId="0" xfId="0" applyFont="1" applyFill="1" applyBorder="1" applyAlignment="1">
      <alignment horizontal="left" indent="1"/>
    </xf>
    <xf numFmtId="9" fontId="6" fillId="3" borderId="0" xfId="6" applyFill="1" applyBorder="1"/>
    <xf numFmtId="9" fontId="0" fillId="3" borderId="7" xfId="0" applyNumberFormat="1" applyFill="1" applyBorder="1"/>
    <xf numFmtId="0" fontId="3" fillId="3" borderId="9" xfId="0" applyFont="1" applyFill="1" applyBorder="1" applyAlignment="1">
      <alignment horizontal="left" indent="1"/>
    </xf>
    <xf numFmtId="0" fontId="3" fillId="8" borderId="6" xfId="0" applyFont="1" applyFill="1" applyBorder="1" applyAlignment="1">
      <alignment horizontal="left" indent="1"/>
    </xf>
    <xf numFmtId="9" fontId="41" fillId="3" borderId="17" xfId="0" applyNumberFormat="1" applyFont="1" applyFill="1" applyBorder="1"/>
    <xf numFmtId="0" fontId="0" fillId="0" borderId="0" xfId="0" pivotButton="1"/>
    <xf numFmtId="0" fontId="0" fillId="0" borderId="0" xfId="0" applyAlignment="1">
      <alignment horizontal="left"/>
    </xf>
    <xf numFmtId="0" fontId="0" fillId="0" borderId="0" xfId="0" applyNumberFormat="1"/>
    <xf numFmtId="0" fontId="41" fillId="0" borderId="6" xfId="0" applyFont="1" applyBorder="1"/>
    <xf numFmtId="3" fontId="41" fillId="0" borderId="6" xfId="0" applyNumberFormat="1" applyFont="1" applyBorder="1"/>
    <xf numFmtId="0" fontId="41" fillId="0" borderId="9" xfId="0" applyFont="1" applyBorder="1"/>
    <xf numFmtId="167" fontId="50" fillId="0" borderId="0" xfId="0" quotePrefix="1" applyNumberFormat="1" applyFont="1" applyAlignment="1">
      <alignment horizontal="center"/>
    </xf>
    <xf numFmtId="0" fontId="3" fillId="5" borderId="3" xfId="0" applyFont="1" applyFill="1" applyBorder="1" applyAlignment="1">
      <alignment horizontal="center" vertical="center"/>
    </xf>
    <xf numFmtId="164" fontId="5" fillId="5" borderId="1" xfId="0" applyNumberFormat="1" applyFont="1" applyFill="1" applyBorder="1" applyAlignment="1">
      <alignment horizontal="center" vertical="center"/>
    </xf>
    <xf numFmtId="0" fontId="5" fillId="0" borderId="9" xfId="0" applyFont="1" applyBorder="1" applyAlignment="1">
      <alignment horizontal="center" wrapText="1"/>
    </xf>
    <xf numFmtId="3" fontId="3" fillId="3" borderId="12" xfId="0" applyNumberFormat="1" applyFont="1" applyFill="1" applyBorder="1"/>
    <xf numFmtId="3" fontId="24" fillId="3" borderId="12" xfId="0" applyNumberFormat="1" applyFont="1" applyFill="1" applyBorder="1"/>
    <xf numFmtId="0" fontId="5" fillId="3" borderId="23" xfId="0" applyFont="1" applyFill="1" applyBorder="1" applyAlignment="1">
      <alignment horizontal="center"/>
    </xf>
    <xf numFmtId="0" fontId="5" fillId="3" borderId="12" xfId="0" applyFont="1" applyFill="1" applyBorder="1" applyAlignment="1">
      <alignment horizontal="right" wrapText="1"/>
    </xf>
    <xf numFmtId="0" fontId="5" fillId="3" borderId="0" xfId="0" applyFont="1" applyFill="1" applyBorder="1" applyAlignment="1">
      <alignment horizontal="center" vertical="center"/>
    </xf>
    <xf numFmtId="0" fontId="5" fillId="3" borderId="7" xfId="0" applyFont="1" applyFill="1" applyBorder="1" applyAlignment="1">
      <alignment horizontal="center" vertical="center"/>
    </xf>
    <xf numFmtId="3" fontId="5" fillId="3" borderId="15" xfId="0" applyNumberFormat="1" applyFont="1" applyFill="1" applyBorder="1"/>
    <xf numFmtId="3" fontId="3" fillId="3" borderId="8" xfId="0" applyNumberFormat="1" applyFont="1" applyFill="1" applyBorder="1"/>
    <xf numFmtId="0" fontId="5" fillId="3" borderId="12" xfId="0" applyFont="1" applyFill="1" applyBorder="1"/>
    <xf numFmtId="0" fontId="5" fillId="3" borderId="0" xfId="0" applyFont="1" applyFill="1" applyBorder="1"/>
    <xf numFmtId="0" fontId="5" fillId="3" borderId="7" xfId="0" applyFont="1" applyFill="1" applyBorder="1"/>
    <xf numFmtId="3" fontId="5" fillId="3" borderId="12" xfId="0" applyNumberFormat="1" applyFont="1" applyFill="1" applyBorder="1"/>
    <xf numFmtId="3" fontId="5" fillId="3" borderId="7" xfId="0" applyNumberFormat="1" applyFont="1" applyFill="1" applyBorder="1"/>
    <xf numFmtId="1" fontId="5" fillId="3" borderId="12" xfId="0" applyNumberFormat="1" applyFont="1" applyFill="1" applyBorder="1"/>
    <xf numFmtId="0" fontId="5" fillId="3" borderId="23" xfId="0" applyFont="1" applyFill="1" applyBorder="1"/>
    <xf numFmtId="168" fontId="5" fillId="3" borderId="12" xfId="0" applyNumberFormat="1" applyFont="1" applyFill="1" applyBorder="1"/>
    <xf numFmtId="168" fontId="5" fillId="3" borderId="15" xfId="0" applyNumberFormat="1" applyFont="1" applyFill="1" applyBorder="1"/>
    <xf numFmtId="0" fontId="5" fillId="3" borderId="8" xfId="0" applyFont="1" applyFill="1" applyBorder="1"/>
    <xf numFmtId="3" fontId="3" fillId="3" borderId="7" xfId="0" applyNumberFormat="1" applyFont="1" applyFill="1" applyBorder="1"/>
    <xf numFmtId="1" fontId="3" fillId="3" borderId="12" xfId="0" applyNumberFormat="1" applyFont="1" applyFill="1" applyBorder="1"/>
    <xf numFmtId="4" fontId="5" fillId="0" borderId="0" xfId="0" applyNumberFormat="1" applyFont="1"/>
    <xf numFmtId="3" fontId="5" fillId="8" borderId="0" xfId="0" applyNumberFormat="1" applyFont="1" applyFill="1"/>
    <xf numFmtId="1" fontId="5" fillId="8" borderId="0" xfId="0" applyNumberFormat="1" applyFont="1" applyFill="1"/>
    <xf numFmtId="3" fontId="5" fillId="8" borderId="0" xfId="0" applyNumberFormat="1" applyFont="1" applyFill="1" applyAlignment="1">
      <alignment horizontal="right" vertical="center"/>
    </xf>
    <xf numFmtId="9" fontId="22" fillId="0" borderId="0" xfId="6" applyFont="1"/>
    <xf numFmtId="3" fontId="15" fillId="0" borderId="0" xfId="0" applyNumberFormat="1" applyFont="1" applyFill="1" applyAlignment="1">
      <alignment vertical="center"/>
    </xf>
    <xf numFmtId="3" fontId="5" fillId="0" borderId="12" xfId="0" applyNumberFormat="1" applyFont="1" applyFill="1" applyBorder="1" applyAlignment="1">
      <alignment vertical="center"/>
    </xf>
    <xf numFmtId="3" fontId="6" fillId="0" borderId="0" xfId="6" applyNumberFormat="1"/>
    <xf numFmtId="3" fontId="3" fillId="10" borderId="0" xfId="0" applyNumberFormat="1" applyFont="1" applyFill="1" applyAlignment="1">
      <alignment vertical="center"/>
    </xf>
    <xf numFmtId="3" fontId="3" fillId="10" borderId="7" xfId="0" applyNumberFormat="1" applyFont="1" applyFill="1" applyBorder="1" applyAlignment="1">
      <alignment vertical="center"/>
    </xf>
    <xf numFmtId="3" fontId="3" fillId="10" borderId="19" xfId="0" applyNumberFormat="1" applyFont="1" applyFill="1" applyBorder="1" applyAlignment="1">
      <alignment vertical="center"/>
    </xf>
    <xf numFmtId="4" fontId="5" fillId="10" borderId="0" xfId="0" applyNumberFormat="1" applyFont="1" applyFill="1"/>
    <xf numFmtId="4" fontId="5" fillId="3" borderId="0" xfId="0" applyNumberFormat="1" applyFont="1" applyFill="1"/>
    <xf numFmtId="3" fontId="6" fillId="5" borderId="0" xfId="6" applyNumberFormat="1" applyFill="1"/>
    <xf numFmtId="3" fontId="5" fillId="0" borderId="7" xfId="0" applyNumberFormat="1" applyFont="1" applyFill="1" applyBorder="1" applyAlignment="1">
      <alignment vertical="center"/>
    </xf>
    <xf numFmtId="3" fontId="5" fillId="0" borderId="0" xfId="0" applyNumberFormat="1" applyFont="1" applyFill="1" applyBorder="1" applyAlignment="1">
      <alignment vertical="center"/>
    </xf>
    <xf numFmtId="0" fontId="37" fillId="0" borderId="0" xfId="0" applyFont="1" applyFill="1" applyBorder="1" applyAlignment="1">
      <alignment horizontal="center"/>
    </xf>
    <xf numFmtId="0" fontId="4" fillId="0" borderId="0" xfId="0" applyFont="1" applyFill="1" applyBorder="1" applyAlignment="1">
      <alignment horizontal="center"/>
    </xf>
    <xf numFmtId="1" fontId="5" fillId="0" borderId="0" xfId="0" applyNumberFormat="1" applyFont="1" applyFill="1" applyBorder="1" applyAlignment="1">
      <alignment horizontal="center"/>
    </xf>
    <xf numFmtId="9" fontId="4" fillId="0" borderId="0" xfId="0" applyNumberFormat="1" applyFont="1" applyFill="1" applyBorder="1" applyAlignment="1">
      <alignment horizontal="center"/>
    </xf>
    <xf numFmtId="9" fontId="5" fillId="0" borderId="18" xfId="0" applyNumberFormat="1" applyFont="1" applyFill="1" applyBorder="1" applyAlignment="1">
      <alignment horizontal="center"/>
    </xf>
    <xf numFmtId="0" fontId="3" fillId="0" borderId="3" xfId="0" applyFont="1" applyFill="1" applyBorder="1" applyAlignment="1">
      <alignment horizontal="center" vertical="center"/>
    </xf>
    <xf numFmtId="164" fontId="5" fillId="0" borderId="0" xfId="0" applyNumberFormat="1" applyFont="1" applyFill="1" applyBorder="1" applyAlignment="1">
      <alignment horizontal="center" vertical="center"/>
    </xf>
    <xf numFmtId="1" fontId="69" fillId="0" borderId="0" xfId="6" applyNumberFormat="1" applyFont="1" applyFill="1" applyBorder="1" applyAlignment="1">
      <alignment horizontal="center"/>
    </xf>
    <xf numFmtId="0" fontId="27" fillId="0" borderId="3" xfId="0" applyFont="1" applyFill="1" applyBorder="1" applyAlignment="1">
      <alignment horizontal="center" vertical="center"/>
    </xf>
    <xf numFmtId="1" fontId="70" fillId="0" borderId="0" xfId="0" applyNumberFormat="1" applyFont="1" applyFill="1" applyBorder="1" applyAlignment="1">
      <alignment horizontal="center"/>
    </xf>
    <xf numFmtId="3" fontId="70" fillId="0" borderId="0" xfId="0" applyNumberFormat="1" applyFont="1" applyFill="1" applyBorder="1" applyAlignment="1">
      <alignment horizontal="center"/>
    </xf>
    <xf numFmtId="3" fontId="71" fillId="0" borderId="0" xfId="0" applyNumberFormat="1" applyFont="1" applyFill="1" applyBorder="1" applyAlignment="1">
      <alignment horizontal="center"/>
    </xf>
    <xf numFmtId="3" fontId="70" fillId="0" borderId="18" xfId="0" applyNumberFormat="1" applyFont="1" applyFill="1" applyBorder="1" applyAlignment="1">
      <alignment horizontal="center"/>
    </xf>
    <xf numFmtId="9" fontId="5" fillId="0" borderId="0" xfId="6" applyFont="1" applyFill="1" applyBorder="1" applyAlignment="1">
      <alignment horizontal="center"/>
    </xf>
    <xf numFmtId="3" fontId="5" fillId="0" borderId="0" xfId="0" applyNumberFormat="1" applyFont="1" applyFill="1" applyBorder="1" applyAlignment="1">
      <alignment horizontal="center"/>
    </xf>
    <xf numFmtId="1" fontId="71" fillId="0" borderId="1" xfId="0" applyNumberFormat="1" applyFont="1" applyFill="1" applyBorder="1" applyAlignment="1">
      <alignment horizontal="center"/>
    </xf>
    <xf numFmtId="3" fontId="4" fillId="5" borderId="0" xfId="0" applyNumberFormat="1" applyFont="1" applyFill="1" applyBorder="1" applyAlignment="1">
      <alignment horizontal="center"/>
    </xf>
    <xf numFmtId="9" fontId="4" fillId="3" borderId="0" xfId="0" applyNumberFormat="1" applyFont="1" applyFill="1" applyBorder="1" applyAlignment="1">
      <alignment horizontal="center"/>
    </xf>
    <xf numFmtId="166" fontId="24" fillId="0" borderId="0" xfId="6" applyNumberFormat="1" applyFont="1"/>
    <xf numFmtId="0" fontId="69" fillId="0" borderId="0" xfId="0" applyFont="1" applyFill="1" applyAlignment="1">
      <alignment horizontal="center"/>
    </xf>
    <xf numFmtId="0" fontId="69" fillId="0" borderId="0" xfId="0" applyFont="1" applyBorder="1" applyAlignment="1">
      <alignment horizontal="center"/>
    </xf>
    <xf numFmtId="1" fontId="69" fillId="0" borderId="0" xfId="0" applyNumberFormat="1" applyFont="1" applyFill="1" applyBorder="1" applyAlignment="1">
      <alignment horizontal="center"/>
    </xf>
    <xf numFmtId="0" fontId="3" fillId="5" borderId="12" xfId="0" applyFont="1" applyFill="1" applyBorder="1" applyAlignment="1">
      <alignment horizontal="center"/>
    </xf>
    <xf numFmtId="3" fontId="5" fillId="5" borderId="12" xfId="10" applyNumberFormat="1" applyFont="1" applyFill="1" applyBorder="1"/>
    <xf numFmtId="164" fontId="5" fillId="5" borderId="12" xfId="10" applyNumberFormat="1" applyFont="1" applyFill="1" applyBorder="1"/>
    <xf numFmtId="3" fontId="0" fillId="5" borderId="15" xfId="0" applyNumberFormat="1" applyFont="1" applyFill="1" applyBorder="1" applyAlignment="1">
      <alignment vertical="center" wrapText="1"/>
    </xf>
    <xf numFmtId="3" fontId="33" fillId="5" borderId="12" xfId="0" applyNumberFormat="1" applyFont="1" applyFill="1" applyBorder="1"/>
    <xf numFmtId="3" fontId="3" fillId="5" borderId="15" xfId="0" applyNumberFormat="1" applyFont="1" applyFill="1" applyBorder="1"/>
    <xf numFmtId="9" fontId="5" fillId="5" borderId="7" xfId="0" applyNumberFormat="1" applyFont="1" applyFill="1" applyBorder="1" applyAlignment="1">
      <alignment horizontal="center" vertical="center"/>
    </xf>
    <xf numFmtId="166" fontId="5" fillId="5" borderId="7" xfId="6" applyNumberFormat="1" applyFont="1" applyFill="1" applyBorder="1"/>
    <xf numFmtId="164" fontId="5" fillId="5" borderId="12" xfId="0" applyNumberFormat="1" applyFont="1" applyFill="1" applyBorder="1"/>
    <xf numFmtId="3" fontId="5" fillId="5" borderId="15" xfId="0" applyNumberFormat="1" applyFont="1" applyFill="1" applyBorder="1"/>
    <xf numFmtId="3" fontId="24" fillId="5" borderId="8" xfId="0" applyNumberFormat="1" applyFont="1" applyFill="1" applyBorder="1"/>
    <xf numFmtId="3" fontId="4" fillId="5" borderId="12" xfId="0" applyNumberFormat="1" applyFont="1" applyFill="1" applyBorder="1"/>
    <xf numFmtId="9" fontId="4" fillId="5" borderId="7" xfId="6" applyNumberFormat="1" applyFont="1" applyFill="1" applyBorder="1"/>
    <xf numFmtId="9" fontId="5" fillId="5" borderId="8" xfId="6" applyFont="1" applyFill="1" applyBorder="1"/>
    <xf numFmtId="9" fontId="27" fillId="5" borderId="7" xfId="6" applyFont="1" applyFill="1" applyBorder="1" applyAlignment="1">
      <alignment vertical="center"/>
    </xf>
    <xf numFmtId="9" fontId="24" fillId="5" borderId="7" xfId="6" applyFont="1" applyFill="1" applyBorder="1"/>
    <xf numFmtId="9" fontId="5" fillId="5" borderId="17" xfId="6" applyFont="1" applyFill="1" applyBorder="1"/>
    <xf numFmtId="3" fontId="5" fillId="0" borderId="0" xfId="6" applyNumberFormat="1" applyFont="1" applyFill="1" applyBorder="1" applyAlignment="1">
      <alignment horizontal="center"/>
    </xf>
    <xf numFmtId="0" fontId="3" fillId="0" borderId="0" xfId="0" applyFont="1" applyAlignment="1">
      <alignment horizontal="center"/>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165" fontId="5" fillId="0" borderId="19" xfId="0" applyNumberFormat="1" applyFont="1" applyFill="1" applyBorder="1"/>
    <xf numFmtId="1" fontId="3" fillId="0" borderId="24" xfId="0" applyNumberFormat="1" applyFont="1" applyFill="1" applyBorder="1" applyAlignment="1">
      <alignment horizontal="center" vertical="center"/>
    </xf>
    <xf numFmtId="1" fontId="5" fillId="0" borderId="19" xfId="6" applyNumberFormat="1" applyFont="1" applyFill="1" applyBorder="1"/>
    <xf numFmtId="1" fontId="24" fillId="0" borderId="24" xfId="0" applyNumberFormat="1" applyFont="1" applyFill="1" applyBorder="1"/>
    <xf numFmtId="1" fontId="4" fillId="0" borderId="19" xfId="6" applyNumberFormat="1" applyFont="1" applyFill="1" applyBorder="1"/>
    <xf numFmtId="1" fontId="3" fillId="0" borderId="24" xfId="6" applyNumberFormat="1" applyFont="1" applyFill="1" applyBorder="1"/>
    <xf numFmtId="0" fontId="5" fillId="0" borderId="0" xfId="0" applyFont="1" applyAlignment="1">
      <alignment horizontal="left" vertical="center" indent="1"/>
    </xf>
    <xf numFmtId="0" fontId="31" fillId="0" borderId="0" xfId="1" applyFont="1" applyAlignment="1">
      <alignment horizontal="left" vertical="center" indent="1"/>
    </xf>
    <xf numFmtId="0" fontId="3" fillId="0" borderId="0" xfId="0" applyFont="1" applyAlignment="1">
      <alignment horizontal="left" vertical="center" wrapText="1"/>
    </xf>
    <xf numFmtId="0" fontId="5" fillId="0" borderId="0" xfId="0" applyFont="1" applyAlignment="1">
      <alignment vertical="center" wrapText="1"/>
    </xf>
    <xf numFmtId="0" fontId="3" fillId="0" borderId="0" xfId="0" applyFont="1" applyAlignment="1">
      <alignment vertical="center" wrapText="1"/>
    </xf>
    <xf numFmtId="166" fontId="24" fillId="0" borderId="0" xfId="0" applyNumberFormat="1" applyFont="1" applyFill="1" applyBorder="1" applyAlignment="1">
      <alignment horizontal="center" vertical="center"/>
    </xf>
    <xf numFmtId="3" fontId="3" fillId="5" borderId="12" xfId="6" applyNumberFormat="1" applyFont="1" applyFill="1" applyBorder="1" applyAlignment="1">
      <alignment vertical="center"/>
    </xf>
    <xf numFmtId="3" fontId="5" fillId="5" borderId="12" xfId="6" applyNumberFormat="1" applyFont="1" applyFill="1" applyBorder="1" applyAlignment="1">
      <alignment horizontal="right"/>
    </xf>
    <xf numFmtId="166" fontId="17" fillId="5" borderId="12" xfId="6" applyNumberFormat="1" applyFont="1" applyFill="1" applyBorder="1"/>
    <xf numFmtId="166" fontId="22" fillId="5" borderId="16" xfId="6" applyNumberFormat="1" applyFont="1" applyFill="1" applyBorder="1"/>
    <xf numFmtId="166" fontId="22" fillId="5" borderId="12" xfId="6" applyNumberFormat="1" applyFont="1" applyFill="1" applyBorder="1"/>
    <xf numFmtId="0" fontId="4" fillId="5" borderId="12" xfId="0" applyFont="1" applyFill="1" applyBorder="1"/>
    <xf numFmtId="166" fontId="59" fillId="0" borderId="9" xfId="0" applyNumberFormat="1" applyFont="1" applyFill="1" applyBorder="1" applyAlignment="1">
      <alignment horizontal="center"/>
    </xf>
    <xf numFmtId="166" fontId="27" fillId="0" borderId="6" xfId="0" applyNumberFormat="1" applyFont="1" applyFill="1" applyBorder="1" applyAlignment="1">
      <alignment horizontal="center"/>
    </xf>
    <xf numFmtId="0" fontId="5" fillId="0" borderId="9" xfId="0" applyFont="1" applyFill="1" applyBorder="1"/>
    <xf numFmtId="3" fontId="3" fillId="5" borderId="15" xfId="6" applyNumberFormat="1" applyFont="1" applyFill="1" applyBorder="1" applyAlignment="1"/>
    <xf numFmtId="0" fontId="0" fillId="0" borderId="0" xfId="0" applyBorder="1"/>
    <xf numFmtId="0" fontId="41" fillId="0" borderId="0" xfId="0" applyFont="1" applyBorder="1" applyAlignment="1">
      <alignment horizontal="right" vertical="center" wrapText="1"/>
    </xf>
    <xf numFmtId="0" fontId="0" fillId="0" borderId="0" xfId="0" applyBorder="1" applyAlignment="1">
      <alignment vertical="center" wrapText="1"/>
    </xf>
    <xf numFmtId="0" fontId="0" fillId="0" borderId="0" xfId="0" applyBorder="1" applyAlignment="1">
      <alignment horizontal="right" vertical="center" wrapText="1"/>
    </xf>
    <xf numFmtId="0" fontId="42" fillId="0" borderId="0" xfId="0" applyFont="1" applyBorder="1" applyAlignment="1">
      <alignment vertical="center" wrapText="1"/>
    </xf>
    <xf numFmtId="0" fontId="42" fillId="0" borderId="0" xfId="0" applyFont="1" applyBorder="1" applyAlignment="1">
      <alignment horizontal="right" vertical="center" wrapText="1"/>
    </xf>
    <xf numFmtId="166" fontId="59" fillId="0" borderId="0" xfId="6" applyNumberFormat="1" applyFont="1" applyFill="1" applyBorder="1" applyAlignment="1">
      <alignment horizontal="center"/>
    </xf>
    <xf numFmtId="166" fontId="57" fillId="0" borderId="0" xfId="0" applyNumberFormat="1" applyFont="1" applyFill="1" applyBorder="1" applyAlignment="1">
      <alignment horizontal="center" vertical="center"/>
    </xf>
    <xf numFmtId="166" fontId="0" fillId="0" borderId="0" xfId="0" applyNumberFormat="1" applyFont="1" applyBorder="1" applyAlignment="1">
      <alignment vertical="center" wrapText="1"/>
    </xf>
    <xf numFmtId="166" fontId="5" fillId="0" borderId="0" xfId="0" applyNumberFormat="1" applyFont="1" applyBorder="1" applyAlignment="1">
      <alignment horizontal="center"/>
    </xf>
    <xf numFmtId="166" fontId="6" fillId="0" borderId="0" xfId="6" applyNumberFormat="1" applyFill="1"/>
    <xf numFmtId="166" fontId="4" fillId="0" borderId="0" xfId="0" applyNumberFormat="1" applyFont="1" applyBorder="1"/>
    <xf numFmtId="0" fontId="5" fillId="7" borderId="0" xfId="0" applyFont="1" applyFill="1"/>
    <xf numFmtId="0" fontId="54" fillId="7" borderId="12" xfId="0" applyFont="1" applyFill="1" applyBorder="1" applyAlignment="1">
      <alignment horizontal="center" vertical="center"/>
    </xf>
    <xf numFmtId="0" fontId="54" fillId="7" borderId="12" xfId="0" applyFont="1" applyFill="1" applyBorder="1" applyAlignment="1">
      <alignment horizontal="center" vertical="center" wrapText="1"/>
    </xf>
    <xf numFmtId="3" fontId="54" fillId="7" borderId="15" xfId="0" applyNumberFormat="1" applyFont="1" applyFill="1" applyBorder="1" applyAlignment="1">
      <alignment vertical="center"/>
    </xf>
    <xf numFmtId="3" fontId="55" fillId="7" borderId="12" xfId="0" applyNumberFormat="1" applyFont="1" applyFill="1" applyBorder="1" applyAlignment="1"/>
    <xf numFmtId="0" fontId="55" fillId="7" borderId="12" xfId="0" applyFont="1" applyFill="1" applyBorder="1" applyAlignment="1"/>
    <xf numFmtId="3" fontId="56" fillId="7" borderId="12" xfId="0" applyNumberFormat="1" applyFont="1" applyFill="1" applyBorder="1" applyAlignment="1"/>
    <xf numFmtId="3" fontId="54" fillId="7" borderId="15" xfId="0" applyNumberFormat="1" applyFont="1" applyFill="1" applyBorder="1"/>
    <xf numFmtId="3" fontId="55" fillId="7" borderId="12" xfId="0" applyNumberFormat="1" applyFont="1" applyFill="1" applyBorder="1"/>
    <xf numFmtId="3" fontId="54" fillId="7" borderId="15" xfId="0" applyNumberFormat="1" applyFont="1" applyFill="1" applyBorder="1" applyAlignment="1"/>
    <xf numFmtId="3" fontId="54" fillId="7" borderId="12" xfId="0" applyNumberFormat="1" applyFont="1" applyFill="1" applyBorder="1"/>
    <xf numFmtId="164" fontId="54" fillId="7" borderId="12" xfId="0" applyNumberFormat="1" applyFont="1" applyFill="1" applyBorder="1"/>
    <xf numFmtId="166" fontId="54" fillId="7" borderId="12" xfId="6" applyNumberFormat="1" applyFont="1" applyFill="1" applyBorder="1"/>
    <xf numFmtId="0" fontId="55" fillId="7" borderId="12" xfId="0" applyFont="1" applyFill="1" applyBorder="1"/>
    <xf numFmtId="0" fontId="55" fillId="7" borderId="16" xfId="0" applyFont="1" applyFill="1" applyBorder="1"/>
    <xf numFmtId="0" fontId="55" fillId="7" borderId="12" xfId="0" applyFont="1" applyFill="1" applyBorder="1" applyAlignment="1">
      <alignment horizontal="center"/>
    </xf>
    <xf numFmtId="166" fontId="55" fillId="7" borderId="12" xfId="6" applyNumberFormat="1" applyFont="1" applyFill="1" applyBorder="1"/>
    <xf numFmtId="166" fontId="47" fillId="7" borderId="9" xfId="6" applyNumberFormat="1" applyFont="1" applyFill="1" applyBorder="1"/>
    <xf numFmtId="166" fontId="47" fillId="7" borderId="0" xfId="6" applyNumberFormat="1" applyFont="1" applyFill="1"/>
    <xf numFmtId="166" fontId="56" fillId="7" borderId="12" xfId="0" applyNumberFormat="1" applyFont="1" applyFill="1" applyBorder="1"/>
    <xf numFmtId="10" fontId="28" fillId="7" borderId="0" xfId="0" applyNumberFormat="1" applyFont="1" applyFill="1"/>
    <xf numFmtId="0" fontId="26" fillId="7" borderId="0" xfId="0" applyFont="1" applyFill="1"/>
    <xf numFmtId="0" fontId="5" fillId="7" borderId="0" xfId="0" applyFont="1" applyFill="1" applyBorder="1"/>
    <xf numFmtId="0" fontId="3" fillId="7" borderId="0" xfId="0" applyFont="1" applyFill="1" applyBorder="1" applyAlignment="1">
      <alignment horizontal="center" vertical="center"/>
    </xf>
    <xf numFmtId="166" fontId="6" fillId="7" borderId="0" xfId="6" applyNumberFormat="1" applyFont="1" applyFill="1" applyBorder="1"/>
    <xf numFmtId="166" fontId="5" fillId="7" borderId="0" xfId="0" applyNumberFormat="1" applyFont="1" applyFill="1" applyBorder="1"/>
    <xf numFmtId="0" fontId="54" fillId="7" borderId="16" xfId="0" applyFont="1" applyFill="1" applyBorder="1" applyAlignment="1">
      <alignment horizontal="center" vertical="center" wrapText="1"/>
    </xf>
    <xf numFmtId="3" fontId="54" fillId="7" borderId="15" xfId="0" applyNumberFormat="1" applyFont="1" applyFill="1" applyBorder="1" applyAlignment="1">
      <alignment horizontal="right" vertical="center"/>
    </xf>
    <xf numFmtId="3" fontId="56" fillId="7" borderId="16" xfId="0" applyNumberFormat="1" applyFont="1" applyFill="1" applyBorder="1" applyAlignment="1"/>
    <xf numFmtId="3" fontId="55" fillId="7" borderId="12" xfId="0" applyNumberFormat="1" applyFont="1" applyFill="1" applyBorder="1" applyAlignment="1">
      <alignment horizontal="right" vertical="center"/>
    </xf>
    <xf numFmtId="3" fontId="55" fillId="7" borderId="16" xfId="0" applyNumberFormat="1" applyFont="1" applyFill="1" applyBorder="1" applyAlignment="1">
      <alignment horizontal="right" vertical="center"/>
    </xf>
    <xf numFmtId="3" fontId="54" fillId="7" borderId="12" xfId="0" applyNumberFormat="1" applyFont="1" applyFill="1" applyBorder="1" applyAlignment="1">
      <alignment horizontal="right" vertical="center"/>
    </xf>
    <xf numFmtId="3" fontId="55" fillId="7" borderId="16" xfId="0" applyNumberFormat="1" applyFont="1" applyFill="1" applyBorder="1"/>
    <xf numFmtId="3" fontId="54" fillId="7" borderId="12" xfId="0" applyNumberFormat="1" applyFont="1" applyFill="1" applyBorder="1" applyAlignment="1"/>
    <xf numFmtId="166" fontId="54" fillId="7" borderId="12" xfId="0" applyNumberFormat="1" applyFont="1" applyFill="1" applyBorder="1"/>
    <xf numFmtId="166" fontId="55" fillId="7" borderId="12" xfId="0" applyNumberFormat="1" applyFont="1" applyFill="1" applyBorder="1"/>
    <xf numFmtId="166" fontId="55" fillId="7" borderId="16" xfId="0" applyNumberFormat="1" applyFont="1" applyFill="1" applyBorder="1"/>
    <xf numFmtId="9" fontId="47" fillId="7" borderId="16" xfId="6" applyFont="1" applyFill="1" applyBorder="1"/>
    <xf numFmtId="9" fontId="47" fillId="7" borderId="12" xfId="6" applyFont="1" applyFill="1" applyBorder="1"/>
    <xf numFmtId="0" fontId="24" fillId="7" borderId="0" xfId="0" applyFont="1" applyFill="1" applyAlignment="1">
      <alignment horizontal="right"/>
    </xf>
    <xf numFmtId="3" fontId="0" fillId="7" borderId="0" xfId="0" applyNumberFormat="1" applyFill="1"/>
    <xf numFmtId="166" fontId="22" fillId="7" borderId="0" xfId="6" applyNumberFormat="1" applyFont="1" applyFill="1" applyBorder="1"/>
    <xf numFmtId="1" fontId="55" fillId="7" borderId="12" xfId="0" applyNumberFormat="1" applyFont="1" applyFill="1" applyBorder="1" applyAlignment="1"/>
    <xf numFmtId="1" fontId="56" fillId="7" borderId="16" xfId="0" applyNumberFormat="1" applyFont="1" applyFill="1" applyBorder="1" applyAlignment="1"/>
    <xf numFmtId="9" fontId="47" fillId="7" borderId="12" xfId="6" applyFont="1" applyFill="1" applyBorder="1" applyAlignment="1">
      <alignment horizontal="right" vertical="center"/>
    </xf>
    <xf numFmtId="9" fontId="47" fillId="7" borderId="16" xfId="6" applyFont="1" applyFill="1" applyBorder="1" applyAlignment="1">
      <alignment horizontal="right" vertical="center"/>
    </xf>
    <xf numFmtId="3" fontId="54" fillId="7" borderId="12" xfId="6" applyNumberFormat="1" applyFont="1" applyFill="1" applyBorder="1" applyAlignment="1">
      <alignment vertical="center"/>
    </xf>
    <xf numFmtId="1" fontId="55" fillId="7" borderId="12" xfId="0" applyNumberFormat="1" applyFont="1" applyFill="1" applyBorder="1"/>
    <xf numFmtId="1" fontId="55" fillId="7" borderId="16" xfId="0" applyNumberFormat="1" applyFont="1" applyFill="1" applyBorder="1"/>
    <xf numFmtId="3" fontId="54" fillId="7" borderId="12" xfId="6" applyNumberFormat="1" applyFont="1" applyFill="1" applyBorder="1" applyAlignment="1"/>
    <xf numFmtId="9" fontId="47" fillId="7" borderId="15" xfId="6" applyFont="1" applyFill="1" applyBorder="1"/>
    <xf numFmtId="0" fontId="32" fillId="7" borderId="0" xfId="0" applyFont="1" applyFill="1" applyAlignment="1">
      <alignment horizontal="right"/>
    </xf>
    <xf numFmtId="166" fontId="24" fillId="7" borderId="0" xfId="0" applyNumberFormat="1" applyFont="1" applyFill="1" applyBorder="1"/>
    <xf numFmtId="0" fontId="3" fillId="7" borderId="0" xfId="0" applyFont="1" applyFill="1" applyAlignment="1">
      <alignment horizontal="center" vertical="center" wrapText="1"/>
    </xf>
    <xf numFmtId="0" fontId="5" fillId="7" borderId="0" xfId="0" applyFont="1" applyFill="1" applyAlignment="1">
      <alignment vertical="center" wrapText="1"/>
    </xf>
    <xf numFmtId="0" fontId="65" fillId="7" borderId="12" xfId="0" applyFont="1" applyFill="1" applyBorder="1" applyAlignment="1">
      <alignment vertical="center"/>
    </xf>
    <xf numFmtId="0" fontId="65" fillId="7" borderId="16" xfId="0" applyFont="1" applyFill="1" applyBorder="1" applyAlignment="1">
      <alignment horizontal="center" vertical="center" wrapText="1"/>
    </xf>
    <xf numFmtId="3" fontId="65" fillId="7" borderId="12" xfId="0" applyNumberFormat="1" applyFont="1" applyFill="1" applyBorder="1" applyAlignment="1">
      <alignment vertical="center"/>
    </xf>
    <xf numFmtId="3" fontId="66" fillId="7" borderId="12" xfId="0" applyNumberFormat="1" applyFont="1" applyFill="1" applyBorder="1" applyAlignment="1"/>
    <xf numFmtId="3" fontId="67" fillId="7" borderId="12" xfId="0" applyNumberFormat="1" applyFont="1" applyFill="1" applyBorder="1" applyAlignment="1"/>
    <xf numFmtId="3" fontId="66" fillId="7" borderId="15" xfId="0" applyNumberFormat="1" applyFont="1" applyFill="1" applyBorder="1" applyAlignment="1">
      <alignment horizontal="right" vertical="center"/>
    </xf>
    <xf numFmtId="3" fontId="66" fillId="7" borderId="16" xfId="0" applyNumberFormat="1" applyFont="1" applyFill="1" applyBorder="1" applyAlignment="1">
      <alignment horizontal="right" vertical="center"/>
    </xf>
    <xf numFmtId="3" fontId="66" fillId="7" borderId="12" xfId="0" applyNumberFormat="1" applyFont="1" applyFill="1" applyBorder="1"/>
    <xf numFmtId="3" fontId="65" fillId="7" borderId="15" xfId="0" applyNumberFormat="1" applyFont="1" applyFill="1" applyBorder="1" applyAlignment="1"/>
    <xf numFmtId="3" fontId="66" fillId="7" borderId="12" xfId="0" applyNumberFormat="1" applyFont="1" applyFill="1" applyBorder="1" applyAlignment="1">
      <alignment horizontal="center"/>
    </xf>
    <xf numFmtId="3" fontId="65" fillId="7" borderId="12" xfId="0" applyNumberFormat="1" applyFont="1" applyFill="1" applyBorder="1"/>
    <xf numFmtId="3" fontId="66" fillId="7" borderId="12" xfId="0" applyNumberFormat="1" applyFont="1" applyFill="1" applyBorder="1" applyAlignment="1">
      <alignment horizontal="right"/>
    </xf>
    <xf numFmtId="166" fontId="65" fillId="7" borderId="12" xfId="6" applyNumberFormat="1" applyFont="1" applyFill="1" applyBorder="1"/>
    <xf numFmtId="166" fontId="66" fillId="7" borderId="12" xfId="0" applyNumberFormat="1" applyFont="1" applyFill="1" applyBorder="1" applyAlignment="1">
      <alignment horizontal="right"/>
    </xf>
    <xf numFmtId="0" fontId="66" fillId="7" borderId="16" xfId="0" applyFont="1" applyFill="1" applyBorder="1"/>
    <xf numFmtId="0" fontId="66" fillId="7" borderId="12" xfId="0" applyFont="1" applyFill="1" applyBorder="1"/>
    <xf numFmtId="166" fontId="66" fillId="7" borderId="12" xfId="6" applyNumberFormat="1" applyFont="1" applyFill="1" applyBorder="1"/>
    <xf numFmtId="166" fontId="66" fillId="7" borderId="16" xfId="6" applyNumberFormat="1" applyFont="1" applyFill="1" applyBorder="1"/>
    <xf numFmtId="166" fontId="5" fillId="7" borderId="12" xfId="6" applyNumberFormat="1" applyFont="1" applyFill="1" applyBorder="1"/>
    <xf numFmtId="166" fontId="24" fillId="7" borderId="16" xfId="6" applyNumberFormat="1" applyFont="1" applyFill="1" applyBorder="1"/>
    <xf numFmtId="0" fontId="3" fillId="7" borderId="7" xfId="0" applyFont="1" applyFill="1" applyBorder="1" applyAlignment="1">
      <alignment horizontal="center" vertical="center" wrapText="1"/>
    </xf>
    <xf numFmtId="0" fontId="5" fillId="7" borderId="19" xfId="0" applyFont="1" applyFill="1" applyBorder="1" applyAlignment="1">
      <alignment horizontal="center" vertical="center"/>
    </xf>
    <xf numFmtId="0" fontId="3" fillId="7" borderId="17" xfId="0" applyFont="1" applyFill="1" applyBorder="1" applyAlignment="1">
      <alignment horizontal="center" vertical="center" wrapText="1"/>
    </xf>
    <xf numFmtId="0" fontId="5" fillId="7" borderId="23" xfId="0" applyFont="1" applyFill="1" applyBorder="1" applyAlignment="1">
      <alignment horizontal="center" wrapText="1"/>
    </xf>
    <xf numFmtId="0" fontId="3" fillId="7" borderId="16" xfId="0" applyFont="1" applyFill="1" applyBorder="1" applyAlignment="1">
      <alignment horizontal="center" vertical="center" wrapText="1"/>
    </xf>
    <xf numFmtId="166" fontId="59" fillId="7" borderId="7" xfId="6" applyNumberFormat="1" applyFont="1" applyFill="1" applyBorder="1" applyAlignment="1">
      <alignment vertical="center"/>
    </xf>
    <xf numFmtId="166" fontId="27" fillId="7" borderId="19" xfId="0" applyNumberFormat="1" applyFont="1" applyFill="1" applyBorder="1" applyAlignment="1">
      <alignment horizontal="center" vertical="center"/>
    </xf>
    <xf numFmtId="3" fontId="3" fillId="7" borderId="12" xfId="0" applyNumberFormat="1" applyFont="1" applyFill="1" applyBorder="1" applyAlignment="1">
      <alignment vertical="center"/>
    </xf>
    <xf numFmtId="9" fontId="3" fillId="7" borderId="7" xfId="6" applyFont="1" applyFill="1" applyBorder="1" applyAlignment="1">
      <alignment vertical="center"/>
    </xf>
    <xf numFmtId="166" fontId="57" fillId="7" borderId="7" xfId="6" applyNumberFormat="1" applyFont="1" applyFill="1" applyBorder="1" applyAlignment="1"/>
    <xf numFmtId="166" fontId="57" fillId="7" borderId="19" xfId="0" applyNumberFormat="1" applyFont="1" applyFill="1" applyBorder="1" applyAlignment="1">
      <alignment horizontal="center"/>
    </xf>
    <xf numFmtId="3" fontId="5" fillId="7" borderId="12" xfId="6" applyNumberFormat="1" applyFont="1" applyFill="1" applyBorder="1" applyAlignment="1"/>
    <xf numFmtId="9" fontId="5" fillId="7" borderId="7" xfId="6" applyFont="1" applyFill="1" applyBorder="1" applyAlignment="1"/>
    <xf numFmtId="166" fontId="24" fillId="7" borderId="19" xfId="0" applyNumberFormat="1" applyFont="1" applyFill="1" applyBorder="1" applyAlignment="1">
      <alignment horizontal="center"/>
    </xf>
    <xf numFmtId="166" fontId="24" fillId="7" borderId="7" xfId="6" applyNumberFormat="1" applyFont="1" applyFill="1" applyBorder="1" applyAlignment="1"/>
    <xf numFmtId="166" fontId="58" fillId="7" borderId="7" xfId="6" applyNumberFormat="1" applyFont="1" applyFill="1" applyBorder="1" applyAlignment="1"/>
    <xf numFmtId="166" fontId="57" fillId="7" borderId="23" xfId="0" applyNumberFormat="1" applyFont="1" applyFill="1" applyBorder="1" applyAlignment="1">
      <alignment horizontal="center"/>
    </xf>
    <xf numFmtId="3" fontId="4" fillId="7" borderId="12" xfId="6" applyNumberFormat="1" applyFont="1" applyFill="1" applyBorder="1" applyAlignment="1"/>
    <xf numFmtId="9" fontId="4" fillId="7" borderId="7" xfId="6" applyFont="1" applyFill="1" applyBorder="1" applyAlignment="1"/>
    <xf numFmtId="166" fontId="18" fillId="7" borderId="8" xfId="6" applyNumberFormat="1" applyFont="1" applyFill="1" applyBorder="1"/>
    <xf numFmtId="0" fontId="5" fillId="7" borderId="19" xfId="0" applyFont="1" applyFill="1" applyBorder="1"/>
    <xf numFmtId="3" fontId="18" fillId="7" borderId="15" xfId="0" applyNumberFormat="1" applyFont="1" applyFill="1" applyBorder="1" applyAlignment="1">
      <alignment horizontal="right" vertical="center"/>
    </xf>
    <xf numFmtId="3" fontId="18" fillId="7" borderId="8" xfId="0" applyNumberFormat="1" applyFont="1" applyFill="1" applyBorder="1" applyAlignment="1">
      <alignment horizontal="right" vertical="center"/>
    </xf>
    <xf numFmtId="166" fontId="18" fillId="7" borderId="7" xfId="6" applyNumberFormat="1" applyFont="1" applyFill="1" applyBorder="1"/>
    <xf numFmtId="0" fontId="5" fillId="7" borderId="23" xfId="0" applyFont="1" applyFill="1" applyBorder="1"/>
    <xf numFmtId="3" fontId="18" fillId="7" borderId="16" xfId="0" applyNumberFormat="1" applyFont="1" applyFill="1" applyBorder="1" applyAlignment="1">
      <alignment horizontal="right" vertical="center"/>
    </xf>
    <xf numFmtId="3" fontId="18" fillId="7" borderId="17" xfId="0" applyNumberFormat="1" applyFont="1" applyFill="1" applyBorder="1" applyAlignment="1">
      <alignment horizontal="right" vertical="center"/>
    </xf>
    <xf numFmtId="166" fontId="27" fillId="7" borderId="24" xfId="6" applyNumberFormat="1" applyFont="1" applyFill="1" applyBorder="1" applyAlignment="1">
      <alignment vertical="center"/>
    </xf>
    <xf numFmtId="166" fontId="32" fillId="7" borderId="7" xfId="6" applyNumberFormat="1" applyFont="1" applyFill="1" applyBorder="1" applyAlignment="1"/>
    <xf numFmtId="166" fontId="24" fillId="7" borderId="23" xfId="0" applyNumberFormat="1" applyFont="1" applyFill="1" applyBorder="1" applyAlignment="1">
      <alignment horizontal="center"/>
    </xf>
    <xf numFmtId="3" fontId="5" fillId="7" borderId="16" xfId="6" applyNumberFormat="1" applyFont="1" applyFill="1" applyBorder="1" applyAlignment="1"/>
    <xf numFmtId="9" fontId="5" fillId="7" borderId="17" xfId="6" applyFont="1" applyFill="1" applyBorder="1" applyAlignment="1"/>
    <xf numFmtId="166" fontId="27" fillId="7" borderId="24" xfId="6" applyNumberFormat="1" applyFont="1" applyFill="1" applyBorder="1" applyAlignment="1"/>
    <xf numFmtId="166" fontId="27" fillId="7" borderId="19" xfId="0" applyNumberFormat="1" applyFont="1" applyFill="1" applyBorder="1" applyAlignment="1">
      <alignment horizontal="center"/>
    </xf>
    <xf numFmtId="3" fontId="3" fillId="7" borderId="15" xfId="0" applyNumberFormat="1" applyFont="1" applyFill="1" applyBorder="1" applyAlignment="1"/>
    <xf numFmtId="9" fontId="3" fillId="7" borderId="7" xfId="6" applyFont="1" applyFill="1" applyBorder="1" applyAlignment="1"/>
    <xf numFmtId="166" fontId="6" fillId="7" borderId="7" xfId="6" applyNumberFormat="1" applyFill="1" applyBorder="1"/>
    <xf numFmtId="166" fontId="5" fillId="7" borderId="19" xfId="0" applyNumberFormat="1" applyFont="1" applyFill="1" applyBorder="1"/>
    <xf numFmtId="0" fontId="24" fillId="7" borderId="12" xfId="0" applyFont="1" applyFill="1" applyBorder="1" applyAlignment="1">
      <alignment horizontal="center"/>
    </xf>
    <xf numFmtId="0" fontId="24" fillId="7" borderId="7" xfId="0" applyFont="1" applyFill="1" applyBorder="1" applyAlignment="1">
      <alignment horizontal="center"/>
    </xf>
    <xf numFmtId="166" fontId="59" fillId="7" borderId="7" xfId="6" applyNumberFormat="1" applyFont="1" applyFill="1" applyBorder="1"/>
    <xf numFmtId="166" fontId="27" fillId="7" borderId="7" xfId="6" applyNumberFormat="1" applyFont="1" applyFill="1" applyBorder="1" applyAlignment="1">
      <alignment horizontal="center"/>
    </xf>
    <xf numFmtId="3" fontId="3" fillId="7" borderId="12" xfId="0" applyNumberFormat="1" applyFont="1" applyFill="1" applyBorder="1"/>
    <xf numFmtId="3" fontId="17" fillId="7" borderId="7" xfId="0" applyNumberFormat="1" applyFont="1" applyFill="1" applyBorder="1"/>
    <xf numFmtId="166" fontId="24" fillId="7" borderId="7" xfId="6" applyNumberFormat="1" applyFont="1" applyFill="1" applyBorder="1"/>
    <xf numFmtId="3" fontId="24" fillId="7" borderId="12" xfId="0" applyNumberFormat="1" applyFont="1" applyFill="1" applyBorder="1"/>
    <xf numFmtId="3" fontId="24" fillId="7" borderId="7" xfId="0" applyNumberFormat="1" applyFont="1" applyFill="1" applyBorder="1"/>
    <xf numFmtId="0" fontId="5" fillId="7" borderId="7" xfId="0" applyFont="1" applyFill="1" applyBorder="1"/>
    <xf numFmtId="166" fontId="3" fillId="7" borderId="12" xfId="6" applyNumberFormat="1" applyFont="1" applyFill="1" applyBorder="1"/>
    <xf numFmtId="166" fontId="17" fillId="7" borderId="7" xfId="6" applyNumberFormat="1" applyFont="1" applyFill="1" applyBorder="1"/>
    <xf numFmtId="166" fontId="24" fillId="7" borderId="12" xfId="0" applyNumberFormat="1" applyFont="1" applyFill="1" applyBorder="1"/>
    <xf numFmtId="166" fontId="24" fillId="7" borderId="7" xfId="0" applyNumberFormat="1" applyFont="1" applyFill="1" applyBorder="1"/>
    <xf numFmtId="0" fontId="5" fillId="7" borderId="17" xfId="0" applyFont="1" applyFill="1" applyBorder="1"/>
    <xf numFmtId="0" fontId="24" fillId="7" borderId="16" xfId="0" applyFont="1" applyFill="1" applyBorder="1"/>
    <xf numFmtId="0" fontId="24" fillId="7" borderId="17" xfId="0" applyFont="1" applyFill="1" applyBorder="1"/>
    <xf numFmtId="0" fontId="5" fillId="7" borderId="7" xfId="0" applyFont="1" applyFill="1" applyBorder="1" applyAlignment="1">
      <alignment horizontal="center" vertical="center"/>
    </xf>
    <xf numFmtId="0" fontId="24" fillId="7" borderId="12" xfId="0" applyFont="1" applyFill="1" applyBorder="1"/>
    <xf numFmtId="0" fontId="24" fillId="7" borderId="7" xfId="0" applyFont="1" applyFill="1" applyBorder="1"/>
    <xf numFmtId="166" fontId="27" fillId="7" borderId="12" xfId="6" applyNumberFormat="1" applyFont="1" applyFill="1" applyBorder="1"/>
    <xf numFmtId="166" fontId="24" fillId="7" borderId="17" xfId="6" applyNumberFormat="1" applyFont="1" applyFill="1" applyBorder="1"/>
    <xf numFmtId="166" fontId="22" fillId="7" borderId="17" xfId="6" applyNumberFormat="1" applyFont="1" applyFill="1" applyBorder="1"/>
    <xf numFmtId="166" fontId="57" fillId="7" borderId="7" xfId="6" applyNumberFormat="1" applyFont="1" applyFill="1" applyBorder="1"/>
    <xf numFmtId="166" fontId="22" fillId="7" borderId="7" xfId="6" applyNumberFormat="1" applyFont="1" applyFill="1" applyBorder="1"/>
    <xf numFmtId="166" fontId="4" fillId="7" borderId="7" xfId="0" applyNumberFormat="1" applyFont="1" applyFill="1" applyBorder="1"/>
    <xf numFmtId="166" fontId="4" fillId="7" borderId="12" xfId="0" applyNumberFormat="1" applyFont="1" applyFill="1" applyBorder="1"/>
    <xf numFmtId="0" fontId="4" fillId="7" borderId="7" xfId="0" applyFont="1" applyFill="1" applyBorder="1"/>
    <xf numFmtId="166" fontId="6" fillId="7" borderId="0" xfId="6" applyNumberFormat="1" applyFill="1"/>
    <xf numFmtId="0" fontId="3" fillId="7" borderId="0" xfId="0" applyFont="1" applyFill="1" applyAlignment="1">
      <alignment horizontal="center"/>
    </xf>
    <xf numFmtId="0" fontId="3" fillId="7" borderId="0" xfId="0" applyFont="1" applyFill="1" applyBorder="1" applyAlignment="1">
      <alignment horizontal="center" vertical="center" wrapText="1"/>
    </xf>
    <xf numFmtId="0" fontId="3" fillId="7" borderId="9" xfId="0" applyFont="1" applyFill="1" applyBorder="1" applyAlignment="1">
      <alignment horizontal="center" vertical="center" wrapText="1"/>
    </xf>
    <xf numFmtId="166" fontId="27" fillId="7" borderId="0" xfId="6" applyNumberFormat="1" applyFont="1" applyFill="1" applyBorder="1" applyAlignment="1">
      <alignment vertical="center"/>
    </xf>
    <xf numFmtId="166" fontId="24" fillId="7" borderId="0" xfId="6" applyNumberFormat="1" applyFont="1" applyFill="1" applyBorder="1" applyAlignment="1"/>
    <xf numFmtId="166" fontId="57" fillId="7" borderId="0" xfId="6" applyNumberFormat="1" applyFont="1" applyFill="1" applyBorder="1" applyAlignment="1"/>
    <xf numFmtId="166" fontId="58" fillId="7" borderId="0" xfId="6" applyNumberFormat="1" applyFont="1" applyFill="1" applyBorder="1" applyAlignment="1"/>
    <xf numFmtId="166" fontId="18" fillId="7" borderId="6" xfId="6" applyNumberFormat="1" applyFont="1" applyFill="1" applyBorder="1"/>
    <xf numFmtId="166" fontId="18" fillId="7" borderId="0" xfId="6" applyNumberFormat="1" applyFont="1" applyFill="1" applyBorder="1"/>
    <xf numFmtId="166" fontId="27" fillId="7" borderId="6" xfId="6" applyNumberFormat="1" applyFont="1" applyFill="1" applyBorder="1" applyAlignment="1">
      <alignment vertical="center"/>
    </xf>
    <xf numFmtId="166" fontId="32" fillId="7" borderId="0" xfId="6" applyNumberFormat="1" applyFont="1" applyFill="1" applyBorder="1" applyAlignment="1"/>
    <xf numFmtId="166" fontId="27" fillId="7" borderId="6" xfId="6" applyNumberFormat="1" applyFont="1" applyFill="1" applyBorder="1" applyAlignment="1"/>
    <xf numFmtId="166" fontId="6" fillId="7" borderId="0" xfId="6" applyNumberFormat="1" applyFill="1" applyBorder="1"/>
    <xf numFmtId="166" fontId="59" fillId="7" borderId="0" xfId="6" applyNumberFormat="1" applyFont="1" applyFill="1" applyBorder="1"/>
    <xf numFmtId="166" fontId="24" fillId="7" borderId="0" xfId="6" applyNumberFormat="1" applyFont="1" applyFill="1" applyBorder="1"/>
    <xf numFmtId="0" fontId="5" fillId="7" borderId="9" xfId="0" applyFont="1" applyFill="1" applyBorder="1"/>
    <xf numFmtId="0" fontId="5" fillId="7" borderId="0" xfId="0" applyFont="1" applyFill="1" applyBorder="1" applyAlignment="1">
      <alignment horizontal="center" vertical="center"/>
    </xf>
    <xf numFmtId="166" fontId="24" fillId="7" borderId="9" xfId="6" applyNumberFormat="1" applyFont="1" applyFill="1" applyBorder="1"/>
    <xf numFmtId="166" fontId="57" fillId="7" borderId="0" xfId="6" applyNumberFormat="1" applyFont="1" applyFill="1" applyBorder="1"/>
    <xf numFmtId="166" fontId="4" fillId="7" borderId="0" xfId="0" applyNumberFormat="1" applyFont="1" applyFill="1" applyBorder="1"/>
    <xf numFmtId="165" fontId="5" fillId="7" borderId="0" xfId="0" applyNumberFormat="1" applyFont="1" applyFill="1"/>
    <xf numFmtId="0" fontId="4" fillId="7" borderId="0" xfId="0" applyFont="1" applyFill="1" applyAlignment="1">
      <alignment horizontal="right"/>
    </xf>
    <xf numFmtId="0" fontId="4" fillId="7" borderId="7" xfId="0" applyFont="1" applyFill="1" applyBorder="1" applyAlignment="1">
      <alignment horizontal="right"/>
    </xf>
    <xf numFmtId="0" fontId="5" fillId="7" borderId="9" xfId="0" applyFont="1" applyFill="1" applyBorder="1" applyAlignment="1">
      <alignment horizontal="center"/>
    </xf>
    <xf numFmtId="0" fontId="3" fillId="7" borderId="9" xfId="0" applyFont="1" applyFill="1" applyBorder="1" applyAlignment="1">
      <alignment horizontal="center"/>
    </xf>
    <xf numFmtId="0" fontId="5" fillId="7" borderId="17" xfId="0" applyFont="1" applyFill="1" applyBorder="1" applyAlignment="1">
      <alignment horizontal="center"/>
    </xf>
    <xf numFmtId="0" fontId="5" fillId="7" borderId="0" xfId="0" applyFont="1" applyFill="1" applyAlignment="1">
      <alignment horizontal="right" wrapText="1"/>
    </xf>
    <xf numFmtId="0" fontId="5" fillId="7" borderId="0" xfId="0" applyFont="1" applyFill="1" applyAlignment="1">
      <alignment horizontal="center" vertical="center"/>
    </xf>
    <xf numFmtId="1" fontId="5" fillId="7" borderId="0" xfId="0" applyNumberFormat="1" applyFont="1" applyFill="1"/>
    <xf numFmtId="1" fontId="3" fillId="7" borderId="0" xfId="0" applyNumberFormat="1" applyFont="1" applyFill="1"/>
    <xf numFmtId="9" fontId="5" fillId="7" borderId="7" xfId="6" applyFont="1" applyFill="1" applyBorder="1"/>
    <xf numFmtId="3" fontId="5" fillId="7" borderId="6" xfId="0" applyNumberFormat="1" applyFont="1" applyFill="1" applyBorder="1"/>
    <xf numFmtId="3" fontId="3" fillId="7" borderId="6" xfId="0" applyNumberFormat="1" applyFont="1" applyFill="1" applyBorder="1"/>
    <xf numFmtId="0" fontId="61" fillId="7" borderId="7" xfId="0" quotePrefix="1" applyFont="1" applyFill="1" applyBorder="1" applyAlignment="1">
      <alignment horizontal="right"/>
    </xf>
    <xf numFmtId="3" fontId="5" fillId="7" borderId="0" xfId="0" applyNumberFormat="1" applyFont="1" applyFill="1"/>
    <xf numFmtId="166" fontId="5" fillId="7" borderId="7" xfId="6" applyNumberFormat="1" applyFont="1" applyFill="1" applyBorder="1"/>
    <xf numFmtId="9" fontId="5" fillId="7" borderId="7" xfId="6" applyNumberFormat="1" applyFont="1" applyFill="1" applyBorder="1"/>
    <xf numFmtId="165" fontId="5" fillId="7" borderId="7" xfId="0" applyNumberFormat="1" applyFont="1" applyFill="1" applyBorder="1"/>
    <xf numFmtId="1" fontId="5" fillId="7" borderId="9" xfId="0" applyNumberFormat="1" applyFont="1" applyFill="1" applyBorder="1"/>
    <xf numFmtId="3" fontId="5" fillId="7" borderId="17" xfId="0" applyNumberFormat="1" applyFont="1" applyFill="1" applyBorder="1"/>
    <xf numFmtId="1" fontId="5" fillId="7" borderId="0" xfId="0" applyNumberFormat="1" applyFont="1" applyFill="1" applyAlignment="1">
      <alignment vertical="center"/>
    </xf>
    <xf numFmtId="1" fontId="3" fillId="7" borderId="0" xfId="0" applyNumberFormat="1" applyFont="1" applyFill="1" applyAlignment="1">
      <alignment vertical="center"/>
    </xf>
    <xf numFmtId="9" fontId="5" fillId="7" borderId="7" xfId="6" applyFont="1" applyFill="1" applyBorder="1" applyAlignment="1">
      <alignment vertical="center"/>
    </xf>
    <xf numFmtId="168" fontId="5" fillId="7" borderId="17" xfId="0" applyNumberFormat="1" applyFont="1" applyFill="1" applyBorder="1"/>
    <xf numFmtId="168" fontId="5" fillId="7" borderId="0" xfId="0" applyNumberFormat="1" applyFont="1" applyFill="1"/>
    <xf numFmtId="168" fontId="5" fillId="7" borderId="7" xfId="0" applyNumberFormat="1" applyFont="1" applyFill="1" applyBorder="1"/>
    <xf numFmtId="168" fontId="5" fillId="7" borderId="6" xfId="0" applyNumberFormat="1" applyFont="1" applyFill="1" applyBorder="1"/>
    <xf numFmtId="0" fontId="5" fillId="7" borderId="6" xfId="0" applyFont="1" applyFill="1" applyBorder="1"/>
    <xf numFmtId="3" fontId="3" fillId="7" borderId="0" xfId="0" applyNumberFormat="1" applyFont="1" applyFill="1"/>
    <xf numFmtId="9" fontId="5" fillId="7" borderId="0" xfId="6" applyFont="1" applyFill="1"/>
    <xf numFmtId="3" fontId="5" fillId="7" borderId="0" xfId="0" applyNumberFormat="1" applyFont="1" applyFill="1" applyBorder="1"/>
    <xf numFmtId="3" fontId="3" fillId="7" borderId="0" xfId="0" applyNumberFormat="1" applyFont="1" applyFill="1" applyBorder="1"/>
    <xf numFmtId="9" fontId="6" fillId="7" borderId="0" xfId="6" applyFill="1"/>
    <xf numFmtId="1" fontId="40" fillId="7" borderId="0" xfId="0" applyNumberFormat="1" applyFont="1" applyFill="1"/>
    <xf numFmtId="1" fontId="16" fillId="7" borderId="0" xfId="0" applyNumberFormat="1" applyFont="1" applyFill="1"/>
    <xf numFmtId="1" fontId="0" fillId="7" borderId="0" xfId="0" applyNumberFormat="1" applyFill="1"/>
    <xf numFmtId="1" fontId="0" fillId="7" borderId="0" xfId="0" applyNumberFormat="1" applyFont="1" applyFill="1"/>
    <xf numFmtId="3" fontId="0" fillId="7" borderId="0" xfId="0" applyNumberFormat="1" applyFill="1" applyAlignment="1">
      <alignment horizontal="center"/>
    </xf>
    <xf numFmtId="0" fontId="5" fillId="7" borderId="0" xfId="0" quotePrefix="1" applyFont="1" applyFill="1"/>
    <xf numFmtId="0" fontId="31" fillId="7" borderId="0" xfId="1" applyFont="1" applyFill="1" applyAlignment="1">
      <alignment horizontal="right"/>
    </xf>
    <xf numFmtId="0" fontId="4" fillId="7" borderId="0" xfId="0" applyFont="1" applyFill="1" applyBorder="1" applyAlignment="1">
      <alignment horizontal="right"/>
    </xf>
    <xf numFmtId="0" fontId="3" fillId="7" borderId="7" xfId="0" applyFont="1" applyFill="1" applyBorder="1" applyAlignment="1">
      <alignment horizontal="center"/>
    </xf>
    <xf numFmtId="0" fontId="3" fillId="7" borderId="12" xfId="0" applyFont="1" applyFill="1" applyBorder="1" applyAlignment="1">
      <alignment horizontal="center"/>
    </xf>
    <xf numFmtId="0" fontId="3" fillId="7" borderId="0" xfId="0" applyFont="1" applyFill="1" applyBorder="1" applyAlignment="1">
      <alignment horizontal="center"/>
    </xf>
    <xf numFmtId="0" fontId="3" fillId="7" borderId="1"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14" xfId="0" applyFont="1" applyFill="1" applyBorder="1" applyAlignment="1">
      <alignment horizontal="center" vertical="center" wrapText="1"/>
    </xf>
    <xf numFmtId="164" fontId="5" fillId="7" borderId="0" xfId="0" applyNumberFormat="1" applyFont="1" applyFill="1"/>
    <xf numFmtId="0" fontId="5" fillId="7" borderId="12" xfId="0" applyFont="1" applyFill="1" applyBorder="1"/>
    <xf numFmtId="0" fontId="5" fillId="7" borderId="0" xfId="0" applyFont="1" applyFill="1" applyBorder="1" applyAlignment="1">
      <alignment horizontal="center"/>
    </xf>
    <xf numFmtId="3" fontId="3" fillId="7" borderId="28" xfId="0" applyNumberFormat="1" applyFont="1" applyFill="1" applyBorder="1"/>
    <xf numFmtId="3" fontId="3" fillId="7" borderId="29" xfId="0" applyNumberFormat="1" applyFont="1" applyFill="1" applyBorder="1"/>
    <xf numFmtId="3" fontId="3" fillId="7" borderId="27" xfId="0" applyNumberFormat="1" applyFont="1" applyFill="1" applyBorder="1"/>
    <xf numFmtId="3" fontId="4" fillId="7" borderId="0" xfId="0" applyNumberFormat="1" applyFont="1" applyFill="1"/>
    <xf numFmtId="3" fontId="5" fillId="7" borderId="7" xfId="0" applyNumberFormat="1" applyFont="1" applyFill="1" applyBorder="1"/>
    <xf numFmtId="3" fontId="5" fillId="7" borderId="12" xfId="0" applyNumberFormat="1" applyFont="1" applyFill="1" applyBorder="1"/>
    <xf numFmtId="3" fontId="5" fillId="7" borderId="0" xfId="0" applyNumberFormat="1" applyFont="1" applyFill="1" applyBorder="1" applyAlignment="1">
      <alignment horizontal="right" vertical="center" wrapText="1"/>
    </xf>
    <xf numFmtId="3" fontId="5" fillId="7" borderId="7" xfId="0" applyNumberFormat="1" applyFont="1" applyFill="1" applyBorder="1" applyAlignment="1">
      <alignment horizontal="center"/>
    </xf>
    <xf numFmtId="3" fontId="5" fillId="7" borderId="12" xfId="0" applyNumberFormat="1" applyFont="1" applyFill="1" applyBorder="1" applyAlignment="1">
      <alignment horizontal="center"/>
    </xf>
    <xf numFmtId="3" fontId="5" fillId="7" borderId="0" xfId="0" applyNumberFormat="1" applyFont="1" applyFill="1" applyAlignment="1">
      <alignment horizontal="center"/>
    </xf>
    <xf numFmtId="3" fontId="0" fillId="7" borderId="0" xfId="0" applyNumberFormat="1" applyFont="1" applyFill="1" applyBorder="1" applyAlignment="1">
      <alignment horizontal="right" vertical="center" wrapText="1"/>
    </xf>
    <xf numFmtId="3" fontId="3" fillId="7" borderId="9" xfId="0" applyNumberFormat="1" applyFont="1" applyFill="1" applyBorder="1"/>
    <xf numFmtId="3" fontId="3" fillId="7" borderId="17" xfId="0" applyNumberFormat="1" applyFont="1" applyFill="1" applyBorder="1"/>
    <xf numFmtId="3" fontId="3" fillId="7" borderId="16" xfId="0" applyNumberFormat="1" applyFont="1" applyFill="1" applyBorder="1"/>
    <xf numFmtId="3" fontId="48" fillId="7" borderId="0" xfId="0" applyNumberFormat="1" applyFont="1" applyFill="1"/>
    <xf numFmtId="3" fontId="5" fillId="7" borderId="7" xfId="0" applyNumberFormat="1" applyFont="1" applyFill="1" applyBorder="1" applyAlignment="1">
      <alignment horizontal="right"/>
    </xf>
    <xf numFmtId="1" fontId="4" fillId="7" borderId="0" xfId="10" applyNumberFormat="1" applyFont="1" applyFill="1" applyBorder="1"/>
    <xf numFmtId="3" fontId="3" fillId="7" borderId="9" xfId="0" applyNumberFormat="1" applyFont="1" applyFill="1" applyBorder="1" applyAlignment="1">
      <alignment horizontal="right"/>
    </xf>
    <xf numFmtId="3" fontId="3" fillId="7" borderId="17" xfId="0" applyNumberFormat="1" applyFont="1" applyFill="1" applyBorder="1" applyAlignment="1">
      <alignment horizontal="right"/>
    </xf>
    <xf numFmtId="0" fontId="3" fillId="7" borderId="0" xfId="10" applyFont="1" applyFill="1" applyBorder="1"/>
    <xf numFmtId="3" fontId="4" fillId="7" borderId="0" xfId="0" applyNumberFormat="1" applyFont="1" applyFill="1" applyAlignment="1">
      <alignment horizontal="right"/>
    </xf>
    <xf numFmtId="3" fontId="4" fillId="7" borderId="7" xfId="0" applyNumberFormat="1" applyFont="1" applyFill="1" applyBorder="1" applyAlignment="1">
      <alignment horizontal="right"/>
    </xf>
    <xf numFmtId="0" fontId="5" fillId="7" borderId="0" xfId="10" applyFont="1" applyFill="1" applyBorder="1"/>
    <xf numFmtId="3" fontId="3" fillId="7" borderId="0" xfId="0" applyNumberFormat="1" applyFont="1" applyFill="1" applyAlignment="1">
      <alignment horizontal="right"/>
    </xf>
    <xf numFmtId="3" fontId="3" fillId="7" borderId="7" xfId="0" applyNumberFormat="1" applyFont="1" applyFill="1" applyBorder="1" applyAlignment="1">
      <alignment horizontal="right"/>
    </xf>
    <xf numFmtId="3" fontId="33" fillId="7" borderId="9" xfId="0" applyNumberFormat="1" applyFont="1" applyFill="1" applyBorder="1"/>
    <xf numFmtId="1" fontId="3" fillId="7" borderId="9" xfId="0" applyNumberFormat="1" applyFont="1" applyFill="1" applyBorder="1"/>
    <xf numFmtId="0" fontId="3" fillId="7" borderId="9" xfId="0" applyFont="1" applyFill="1" applyBorder="1"/>
    <xf numFmtId="3" fontId="3" fillId="7" borderId="9" xfId="10" applyNumberFormat="1" applyFont="1" applyFill="1" applyBorder="1"/>
    <xf numFmtId="3" fontId="4" fillId="7" borderId="9" xfId="10" applyNumberFormat="1" applyFont="1" applyFill="1" applyBorder="1"/>
    <xf numFmtId="3" fontId="5" fillId="7" borderId="16" xfId="0" applyNumberFormat="1" applyFont="1" applyFill="1" applyBorder="1"/>
    <xf numFmtId="3" fontId="5" fillId="7" borderId="9" xfId="0" applyNumberFormat="1" applyFont="1" applyFill="1" applyBorder="1"/>
    <xf numFmtId="1" fontId="5" fillId="7" borderId="0" xfId="0" applyNumberFormat="1" applyFont="1" applyFill="1" applyBorder="1"/>
    <xf numFmtId="0" fontId="18" fillId="7" borderId="0" xfId="0" applyFont="1" applyFill="1"/>
    <xf numFmtId="0" fontId="5" fillId="7" borderId="0" xfId="0" quotePrefix="1" applyFont="1" applyFill="1" applyBorder="1" applyAlignment="1">
      <alignment horizontal="left" wrapText="1"/>
    </xf>
    <xf numFmtId="0" fontId="5" fillId="7" borderId="0" xfId="0" quotePrefix="1" applyFont="1" applyFill="1" applyBorder="1" applyAlignment="1">
      <alignment wrapText="1"/>
    </xf>
    <xf numFmtId="0" fontId="24" fillId="7" borderId="0" xfId="0" applyFont="1" applyFill="1"/>
    <xf numFmtId="0" fontId="0" fillId="7" borderId="0" xfId="0" applyFill="1"/>
    <xf numFmtId="0" fontId="3" fillId="7" borderId="9" xfId="10" applyFont="1" applyFill="1" applyBorder="1"/>
    <xf numFmtId="0" fontId="4" fillId="7" borderId="0" xfId="10" applyFont="1" applyFill="1" applyBorder="1"/>
    <xf numFmtId="3" fontId="4" fillId="7" borderId="0" xfId="10" applyNumberFormat="1" applyFont="1" applyFill="1" applyBorder="1"/>
    <xf numFmtId="3" fontId="3" fillId="7" borderId="0" xfId="10" applyNumberFormat="1" applyFont="1" applyFill="1" applyBorder="1"/>
    <xf numFmtId="3" fontId="5" fillId="7" borderId="0" xfId="10" applyNumberFormat="1" applyFont="1" applyFill="1" applyBorder="1"/>
    <xf numFmtId="0" fontId="5" fillId="7" borderId="0" xfId="0" quotePrefix="1" applyFont="1" applyFill="1" applyBorder="1"/>
    <xf numFmtId="0" fontId="3" fillId="5" borderId="12" xfId="0" applyFont="1" applyFill="1" applyBorder="1" applyAlignment="1">
      <alignment horizontal="center" vertical="center"/>
    </xf>
    <xf numFmtId="0" fontId="3" fillId="5" borderId="7"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7" xfId="0" applyFont="1" applyFill="1" applyBorder="1" applyAlignment="1">
      <alignment horizontal="center" vertical="center"/>
    </xf>
    <xf numFmtId="0" fontId="5" fillId="0" borderId="0" xfId="0" applyFont="1" applyAlignment="1">
      <alignment horizontal="left" vertical="top" wrapText="1"/>
    </xf>
    <xf numFmtId="0" fontId="3" fillId="7" borderId="0" xfId="0" applyFont="1" applyFill="1" applyAlignment="1">
      <alignment horizontal="center"/>
    </xf>
    <xf numFmtId="0" fontId="5" fillId="0" borderId="0" xfId="0" applyFont="1" applyFill="1" applyAlignment="1">
      <alignment horizontal="left" vertical="top" wrapText="1"/>
    </xf>
    <xf numFmtId="0" fontId="5" fillId="0" borderId="0" xfId="0" quotePrefix="1" applyFont="1" applyFill="1" applyAlignment="1">
      <alignment horizontal="left" vertical="top" wrapText="1"/>
    </xf>
    <xf numFmtId="0" fontId="3" fillId="0" borderId="0" xfId="0" applyFont="1" applyAlignment="1">
      <alignment horizontal="center"/>
    </xf>
    <xf numFmtId="0" fontId="5" fillId="0" borderId="12" xfId="0" applyFont="1" applyBorder="1" applyAlignment="1">
      <alignment horizontal="center"/>
    </xf>
    <xf numFmtId="0" fontId="5" fillId="0" borderId="0" xfId="0" applyFont="1" applyBorder="1" applyAlignment="1">
      <alignment horizontal="center"/>
    </xf>
    <xf numFmtId="0" fontId="5" fillId="0" borderId="7" xfId="0" applyFont="1" applyBorder="1" applyAlignment="1">
      <alignment horizontal="center"/>
    </xf>
    <xf numFmtId="0" fontId="5" fillId="0" borderId="0" xfId="0" quotePrefix="1" applyFont="1" applyAlignment="1">
      <alignment horizontal="left" vertical="center" wrapText="1"/>
    </xf>
    <xf numFmtId="0" fontId="3" fillId="6" borderId="12" xfId="0" applyFont="1" applyFill="1" applyBorder="1" applyAlignment="1">
      <alignment horizontal="center"/>
    </xf>
    <xf numFmtId="0" fontId="3" fillId="6" borderId="7" xfId="0" applyFont="1" applyFill="1" applyBorder="1" applyAlignment="1">
      <alignment horizontal="center"/>
    </xf>
    <xf numFmtId="0" fontId="3" fillId="3" borderId="12" xfId="0" applyFont="1" applyFill="1" applyBorder="1" applyAlignment="1">
      <alignment horizontal="center"/>
    </xf>
    <xf numFmtId="0" fontId="3" fillId="3" borderId="0" xfId="0" applyFont="1" applyFill="1" applyAlignment="1">
      <alignment horizontal="center"/>
    </xf>
    <xf numFmtId="0" fontId="3" fillId="6" borderId="16"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5" fillId="0" borderId="0" xfId="0" quotePrefix="1" applyFont="1" applyAlignment="1">
      <alignment horizontal="left" vertical="top" wrapText="1"/>
    </xf>
    <xf numFmtId="0" fontId="3" fillId="5" borderId="12" xfId="0" applyFont="1" applyFill="1" applyBorder="1" applyAlignment="1">
      <alignment horizontal="center"/>
    </xf>
    <xf numFmtId="0" fontId="3" fillId="5" borderId="7" xfId="0" applyFont="1" applyFill="1" applyBorder="1" applyAlignment="1">
      <alignment horizontal="center"/>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11" fillId="0" borderId="0" xfId="2" applyFont="1" applyBorder="1" applyAlignment="1">
      <alignment vertical="center" wrapText="1"/>
    </xf>
    <xf numFmtId="0" fontId="15" fillId="0" borderId="0" xfId="2" applyFont="1" applyBorder="1" applyAlignment="1">
      <alignment horizontal="center" vertical="center" wrapText="1"/>
    </xf>
    <xf numFmtId="0" fontId="15" fillId="0" borderId="0" xfId="2" applyFont="1" applyAlignment="1">
      <alignment horizontal="center" vertical="center"/>
    </xf>
    <xf numFmtId="167" fontId="50" fillId="0" borderId="0" xfId="0" quotePrefix="1" applyNumberFormat="1" applyFont="1" applyAlignment="1">
      <alignment horizontal="center"/>
    </xf>
    <xf numFmtId="0" fontId="5" fillId="0" borderId="1" xfId="0" applyFont="1" applyBorder="1" applyAlignment="1">
      <alignment horizontal="center"/>
    </xf>
    <xf numFmtId="0" fontId="3" fillId="3" borderId="3" xfId="0" applyFont="1" applyFill="1" applyBorder="1" applyAlignment="1">
      <alignment horizontal="center" vertical="center"/>
    </xf>
    <xf numFmtId="164" fontId="5" fillId="3" borderId="1" xfId="0" applyNumberFormat="1" applyFont="1" applyFill="1" applyBorder="1" applyAlignment="1">
      <alignment horizontal="center" vertical="center"/>
    </xf>
    <xf numFmtId="164" fontId="5" fillId="3" borderId="0" xfId="0" applyNumberFormat="1" applyFont="1" applyFill="1" applyBorder="1" applyAlignment="1">
      <alignment horizontal="center" vertical="center"/>
    </xf>
    <xf numFmtId="0" fontId="3" fillId="0" borderId="3" xfId="0" applyFont="1" applyFill="1" applyBorder="1" applyAlignment="1">
      <alignment horizontal="center" vertical="center"/>
    </xf>
    <xf numFmtId="164" fontId="5" fillId="0" borderId="1" xfId="0" applyNumberFormat="1" applyFont="1" applyFill="1" applyBorder="1" applyAlignment="1">
      <alignment horizontal="center" vertical="center"/>
    </xf>
    <xf numFmtId="164" fontId="5" fillId="0" borderId="0" xfId="0" applyNumberFormat="1" applyFont="1" applyFill="1" applyBorder="1" applyAlignment="1">
      <alignment horizontal="center" vertical="center"/>
    </xf>
    <xf numFmtId="0" fontId="5" fillId="0" borderId="0" xfId="0" quotePrefix="1" applyFont="1" applyBorder="1" applyAlignment="1">
      <alignment horizontal="left" wrapText="1"/>
    </xf>
    <xf numFmtId="0" fontId="5" fillId="7" borderId="0" xfId="0" quotePrefix="1" applyFont="1" applyFill="1" applyAlignment="1">
      <alignment horizontal="left" wrapText="1"/>
    </xf>
    <xf numFmtId="3" fontId="24" fillId="0" borderId="0" xfId="0" applyNumberFormat="1" applyFont="1" applyFill="1" applyBorder="1" applyAlignment="1">
      <alignment horizontal="center"/>
    </xf>
    <xf numFmtId="3" fontId="3" fillId="0" borderId="0" xfId="0" applyNumberFormat="1" applyFont="1" applyFill="1" applyBorder="1"/>
    <xf numFmtId="3" fontId="5" fillId="0" borderId="0" xfId="0" applyNumberFormat="1" applyFont="1" applyFill="1" applyBorder="1" applyAlignment="1">
      <alignment horizontal="right"/>
    </xf>
    <xf numFmtId="166" fontId="3" fillId="0" borderId="0" xfId="6" applyNumberFormat="1" applyFont="1" applyFill="1" applyBorder="1"/>
    <xf numFmtId="166" fontId="5" fillId="0" borderId="0" xfId="0" applyNumberFormat="1" applyFont="1" applyFill="1" applyBorder="1" applyAlignment="1">
      <alignment horizontal="right"/>
    </xf>
    <xf numFmtId="0" fontId="24" fillId="0" borderId="9" xfId="0" applyFont="1" applyFill="1" applyBorder="1"/>
    <xf numFmtId="0" fontId="24" fillId="0" borderId="0" xfId="0" applyFont="1" applyFill="1" applyBorder="1"/>
    <xf numFmtId="166" fontId="5" fillId="0" borderId="0" xfId="6" applyNumberFormat="1" applyFont="1" applyBorder="1"/>
    <xf numFmtId="166" fontId="5" fillId="0" borderId="9" xfId="6" applyNumberFormat="1" applyFont="1" applyBorder="1"/>
    <xf numFmtId="166" fontId="22" fillId="0" borderId="0" xfId="6" applyNumberFormat="1" applyFont="1" applyFill="1" applyBorder="1"/>
    <xf numFmtId="166" fontId="22" fillId="0" borderId="9" xfId="6" applyNumberFormat="1" applyFont="1" applyFill="1" applyBorder="1"/>
    <xf numFmtId="0" fontId="65" fillId="7" borderId="0" xfId="0" applyFont="1" applyFill="1" applyBorder="1" applyAlignment="1">
      <alignment vertical="center"/>
    </xf>
    <xf numFmtId="0" fontId="65" fillId="7" borderId="9" xfId="0" applyFont="1" applyFill="1" applyBorder="1" applyAlignment="1">
      <alignment horizontal="center" vertical="center" wrapText="1"/>
    </xf>
    <xf numFmtId="3" fontId="66" fillId="7" borderId="0" xfId="0" applyNumberFormat="1" applyFont="1" applyFill="1" applyBorder="1" applyAlignment="1">
      <alignment horizontal="center"/>
    </xf>
    <xf numFmtId="3" fontId="65" fillId="7" borderId="0" xfId="0" applyNumberFormat="1" applyFont="1" applyFill="1" applyBorder="1"/>
    <xf numFmtId="3" fontId="66" fillId="7" borderId="0" xfId="0" applyNumberFormat="1" applyFont="1" applyFill="1" applyBorder="1" applyAlignment="1">
      <alignment horizontal="right"/>
    </xf>
    <xf numFmtId="166" fontId="65" fillId="7" borderId="0" xfId="6" applyNumberFormat="1" applyFont="1" applyFill="1" applyBorder="1"/>
    <xf numFmtId="166" fontId="66" fillId="7" borderId="0" xfId="0" applyNumberFormat="1" applyFont="1" applyFill="1" applyBorder="1" applyAlignment="1">
      <alignment horizontal="right"/>
    </xf>
    <xf numFmtId="0" fontId="66" fillId="7" borderId="9" xfId="0" applyFont="1" applyFill="1" applyBorder="1"/>
    <xf numFmtId="0" fontId="66" fillId="7" borderId="0" xfId="0" applyFont="1" applyFill="1" applyBorder="1"/>
    <xf numFmtId="166" fontId="66" fillId="7" borderId="0" xfId="6" applyNumberFormat="1" applyFont="1" applyFill="1" applyBorder="1"/>
    <xf numFmtId="166" fontId="66" fillId="7" borderId="9" xfId="6" applyNumberFormat="1" applyFont="1" applyFill="1" applyBorder="1"/>
    <xf numFmtId="166" fontId="5" fillId="7" borderId="0" xfId="6" applyNumberFormat="1" applyFont="1" applyFill="1" applyBorder="1"/>
    <xf numFmtId="166" fontId="56" fillId="7" borderId="0" xfId="0" applyNumberFormat="1" applyFont="1" applyFill="1" applyBorder="1"/>
  </cellXfs>
  <cellStyles count="18">
    <cellStyle name="Excel Built-in Normal" xfId="15" xr:uid="{715E368D-A3C0-4464-8F75-5B59123138DF}"/>
    <cellStyle name="Lien hypertexte"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 3 2" xfId="12" xr:uid="{BB2382CD-3485-4CF2-B21E-7548FAB5CDA8}"/>
    <cellStyle name="Normal 2 3 2 2" xfId="17" xr:uid="{C17F36DF-AFE6-403C-9EDC-9003C58A9A94}"/>
    <cellStyle name="Normal 2 4" xfId="11" xr:uid="{74F42736-659C-457D-ABE2-F84EE1CAECEE}"/>
    <cellStyle name="Normal_Effort financier des autres ministères" xfId="5" xr:uid="{00000000-0005-0000-0000-000005000000}"/>
    <cellStyle name="Pourcentage" xfId="6" builtinId="5"/>
    <cellStyle name="Pourcentage 2" xfId="7" xr:uid="{00000000-0005-0000-0000-000007000000}"/>
    <cellStyle name="Pourcentage 2 2" xfId="13" xr:uid="{47B98BF3-CBAE-42A3-BCFF-CA80BBDDAD66}"/>
    <cellStyle name="Pourcentage 3" xfId="8" xr:uid="{00000000-0005-0000-0000-000008000000}"/>
    <cellStyle name="Pourcentage 4" xfId="9" xr:uid="{00000000-0005-0000-0000-000009000000}"/>
    <cellStyle name="Pourcentage 5" xfId="14" xr:uid="{21A3C240-2EB7-4966-9F9A-EACE173C359E}"/>
    <cellStyle name="Pourcentage 5 2" xfId="16" xr:uid="{F38B8DCE-ADD2-421F-90F3-5702B7F98C61}"/>
    <cellStyle name="Texte explicatif" xfId="10" builtinId="53"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7E0021"/>
      <rgbColor rgb="00008080"/>
      <rgbColor rgb="000000FF"/>
      <rgbColor rgb="0000CCFF"/>
      <rgbColor rgb="00CCFFFF"/>
      <rgbColor rgb="00CCFFCC"/>
      <rgbColor rgb="00FFFF99"/>
      <rgbColor rgb="0083CAFF"/>
      <rgbColor rgb="00FF99CC"/>
      <rgbColor rgb="00CC99FF"/>
      <rgbColor rgb="00FFCC99"/>
      <rgbColor rgb="003366FF"/>
      <rgbColor rgb="0033CCCC"/>
      <rgbColor rgb="0099CC00"/>
      <rgbColor rgb="00FFD320"/>
      <rgbColor rgb="00FF9900"/>
      <rgbColor rgb="00FF420E"/>
      <rgbColor rgb="00666699"/>
      <rgbColor rgb="00B3B3B3"/>
      <rgbColor rgb="00004586"/>
      <rgbColor rgb="00579D1C"/>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Feuil2!$M$24</c:f>
              <c:strCache>
                <c:ptCount val="1"/>
                <c:pt idx="0">
                  <c:v>Somme de ETPT</c:v>
                </c:pt>
              </c:strCache>
            </c:strRef>
          </c:tx>
          <c:spPr>
            <a:solidFill>
              <a:schemeClr val="accent1"/>
            </a:solidFill>
            <a:ln>
              <a:noFill/>
            </a:ln>
            <a:effectLst/>
          </c:spPr>
          <c:invertIfNegative val="0"/>
          <c:cat>
            <c:strRef>
              <c:f>Feuil2!$K$25:$K$37</c:f>
              <c:strCache>
                <c:ptCount val="13"/>
                <c:pt idx="0">
                  <c:v>Ecole</c:v>
                </c:pt>
                <c:pt idx="1">
                  <c:v>Musée</c:v>
                </c:pt>
                <c:pt idx="2">
                  <c:v>Autre opérateur</c:v>
                </c:pt>
                <c:pt idx="3">
                  <c:v>Autre</c:v>
                </c:pt>
                <c:pt idx="4">
                  <c:v>Théâtre</c:v>
                </c:pt>
                <c:pt idx="5">
                  <c:v>Monument</c:v>
                </c:pt>
                <c:pt idx="6">
                  <c:v>Bibliothèque</c:v>
                </c:pt>
                <c:pt idx="7">
                  <c:v>Château-Musée</c:v>
                </c:pt>
                <c:pt idx="8">
                  <c:v>Opéra</c:v>
                </c:pt>
                <c:pt idx="9">
                  <c:v>Auditorium - Orchestre - Musée</c:v>
                </c:pt>
                <c:pt idx="10">
                  <c:v>Cinéma</c:v>
                </c:pt>
                <c:pt idx="11">
                  <c:v>Musée - Aquarium</c:v>
                </c:pt>
                <c:pt idx="12">
                  <c:v>Orchestre</c:v>
                </c:pt>
              </c:strCache>
            </c:strRef>
          </c:cat>
          <c:val>
            <c:numRef>
              <c:f>Feuil2!$M$25:$M$37</c:f>
              <c:numCache>
                <c:formatCode>#,##0</c:formatCode>
                <c:ptCount val="13"/>
                <c:pt idx="0">
                  <c:v>4563</c:v>
                </c:pt>
                <c:pt idx="1">
                  <c:v>4867</c:v>
                </c:pt>
                <c:pt idx="2">
                  <c:v>3008</c:v>
                </c:pt>
                <c:pt idx="3">
                  <c:v>2889</c:v>
                </c:pt>
                <c:pt idx="4">
                  <c:v>861</c:v>
                </c:pt>
                <c:pt idx="5">
                  <c:v>1584</c:v>
                </c:pt>
                <c:pt idx="6">
                  <c:v>2482</c:v>
                </c:pt>
                <c:pt idx="7">
                  <c:v>1188</c:v>
                </c:pt>
                <c:pt idx="8">
                  <c:v>1640</c:v>
                </c:pt>
                <c:pt idx="9">
                  <c:v>498</c:v>
                </c:pt>
                <c:pt idx="10">
                  <c:v>213</c:v>
                </c:pt>
                <c:pt idx="11">
                  <c:v>104</c:v>
                </c:pt>
                <c:pt idx="12">
                  <c:v>46</c:v>
                </c:pt>
              </c:numCache>
            </c:numRef>
          </c:val>
          <c:extLst>
            <c:ext xmlns:c16="http://schemas.microsoft.com/office/drawing/2014/chart" uri="{C3380CC4-5D6E-409C-BE32-E72D297353CC}">
              <c16:uniqueId val="{00000000-606B-4BA4-8C6F-DEA875BE84DB}"/>
            </c:ext>
          </c:extLst>
        </c:ser>
        <c:dLbls>
          <c:showLegendKey val="0"/>
          <c:showVal val="0"/>
          <c:showCatName val="0"/>
          <c:showSerName val="0"/>
          <c:showPercent val="0"/>
          <c:showBubbleSize val="0"/>
        </c:dLbls>
        <c:gapWidth val="182"/>
        <c:axId val="1764594048"/>
        <c:axId val="1764598848"/>
      </c:barChart>
      <c:catAx>
        <c:axId val="1764594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64598848"/>
        <c:crosses val="autoZero"/>
        <c:auto val="1"/>
        <c:lblAlgn val="ctr"/>
        <c:lblOffset val="100"/>
        <c:noMultiLvlLbl val="0"/>
      </c:catAx>
      <c:valAx>
        <c:axId val="17645988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64594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manualLayout>
          <c:layoutTarget val="inner"/>
          <c:xMode val="edge"/>
          <c:yMode val="edge"/>
          <c:x val="0.10109679191910853"/>
          <c:y val="4.5077673978303923E-2"/>
          <c:w val="0.88252682764825408"/>
          <c:h val="0.81339638800477243"/>
        </c:manualLayout>
      </c:layout>
      <c:barChart>
        <c:barDir val="bar"/>
        <c:grouping val="stacked"/>
        <c:varyColors val="0"/>
        <c:ser>
          <c:idx val="0"/>
          <c:order val="0"/>
          <c:tx>
            <c:strRef>
              <c:f>'Graphique 1'!$A$47</c:f>
              <c:strCache>
                <c:ptCount val="1"/>
                <c:pt idx="0">
                  <c:v>dont fonctionnement</c:v>
                </c:pt>
              </c:strCache>
            </c:strRef>
          </c:tx>
          <c:spPr>
            <a:solidFill>
              <a:schemeClr val="accent5">
                <a:shade val="76000"/>
              </a:schemeClr>
            </a:solidFill>
            <a:ln>
              <a:noFill/>
            </a:ln>
            <a:effectLst/>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'Graphique 1'!$B$44:$E$46</c:f>
              <c:strCache>
                <c:ptCount val="4"/>
                <c:pt idx="0">
                  <c:v>Régions</c:v>
                </c:pt>
                <c:pt idx="1">
                  <c:v>Départements**</c:v>
                </c:pt>
                <c:pt idx="2">
                  <c:v>Bloc local*</c:v>
                </c:pt>
                <c:pt idx="3">
                  <c:v>Ensemble</c:v>
                </c:pt>
              </c:strCache>
            </c:strRef>
          </c:cat>
          <c:val>
            <c:numRef>
              <c:f>'Graphique 1'!$B$47:$E$47</c:f>
              <c:numCache>
                <c:formatCode>#,##0</c:formatCode>
                <c:ptCount val="4"/>
                <c:pt idx="0">
                  <c:v>545</c:v>
                </c:pt>
                <c:pt idx="1">
                  <c:v>853</c:v>
                </c:pt>
                <c:pt idx="2">
                  <c:v>7093</c:v>
                </c:pt>
                <c:pt idx="3">
                  <c:v>8490</c:v>
                </c:pt>
              </c:numCache>
            </c:numRef>
          </c:val>
          <c:extLst>
            <c:ext xmlns:c16="http://schemas.microsoft.com/office/drawing/2014/chart" uri="{C3380CC4-5D6E-409C-BE32-E72D297353CC}">
              <c16:uniqueId val="{00000000-28B5-4DB2-A1F3-539FD0B99EF2}"/>
            </c:ext>
          </c:extLst>
        </c:ser>
        <c:ser>
          <c:idx val="1"/>
          <c:order val="1"/>
          <c:tx>
            <c:strRef>
              <c:f>'Graphique 1'!$A$48</c:f>
              <c:strCache>
                <c:ptCount val="1"/>
                <c:pt idx="0">
                  <c:v>dont investissement</c:v>
                </c:pt>
              </c:strCache>
            </c:strRef>
          </c:tx>
          <c:spPr>
            <a:solidFill>
              <a:schemeClr val="accent5">
                <a:tint val="77000"/>
              </a:schemeClr>
            </a:solidFill>
            <a:ln>
              <a:noFill/>
            </a:ln>
            <a:effectLst/>
          </c:spPr>
          <c:invertIfNegative val="0"/>
          <c:dLbls>
            <c:dLbl>
              <c:idx val="0"/>
              <c:layout>
                <c:manualLayout>
                  <c:x val="3.1689495393141451E-4"/>
                  <c:y val="-1.3722199770707212E-2"/>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3.904208146887627E-2"/>
                      <c:h val="3.2150175113366063E-2"/>
                    </c:manualLayout>
                  </c15:layout>
                </c:ext>
                <c:ext xmlns:c16="http://schemas.microsoft.com/office/drawing/2014/chart" uri="{C3380CC4-5D6E-409C-BE32-E72D297353CC}">
                  <c16:uniqueId val="{00000001-28B5-4DB2-A1F3-539FD0B99EF2}"/>
                </c:ext>
              </c:extLst>
            </c:dLbl>
            <c:dLbl>
              <c:idx val="1"/>
              <c:layout>
                <c:manualLayout>
                  <c:x val="-1.0567492523566973E-4"/>
                  <c:y val="2.256165983233535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B5-4DB2-A1F3-539FD0B99EF2}"/>
                </c:ext>
              </c:extLst>
            </c:dLbl>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'Graphique 1'!$B$44:$E$46</c:f>
              <c:strCache>
                <c:ptCount val="4"/>
                <c:pt idx="0">
                  <c:v>Régions</c:v>
                </c:pt>
                <c:pt idx="1">
                  <c:v>Départements**</c:v>
                </c:pt>
                <c:pt idx="2">
                  <c:v>Bloc local*</c:v>
                </c:pt>
                <c:pt idx="3">
                  <c:v>Ensemble</c:v>
                </c:pt>
              </c:strCache>
            </c:strRef>
          </c:cat>
          <c:val>
            <c:numRef>
              <c:f>'Graphique 1'!$B$48:$E$48</c:f>
              <c:numCache>
                <c:formatCode>#,##0</c:formatCode>
                <c:ptCount val="4"/>
                <c:pt idx="0">
                  <c:v>236</c:v>
                </c:pt>
                <c:pt idx="1">
                  <c:v>381</c:v>
                </c:pt>
                <c:pt idx="2">
                  <c:v>1626</c:v>
                </c:pt>
                <c:pt idx="3">
                  <c:v>2243</c:v>
                </c:pt>
              </c:numCache>
            </c:numRef>
          </c:val>
          <c:extLst>
            <c:ext xmlns:c16="http://schemas.microsoft.com/office/drawing/2014/chart" uri="{C3380CC4-5D6E-409C-BE32-E72D297353CC}">
              <c16:uniqueId val="{00000005-28B5-4DB2-A1F3-539FD0B99EF2}"/>
            </c:ext>
          </c:extLst>
        </c:ser>
        <c:dLbls>
          <c:showLegendKey val="0"/>
          <c:showVal val="0"/>
          <c:showCatName val="0"/>
          <c:showSerName val="0"/>
          <c:showPercent val="0"/>
          <c:showBubbleSize val="0"/>
        </c:dLbls>
        <c:gapWidth val="79"/>
        <c:overlap val="100"/>
        <c:axId val="192250816"/>
        <c:axId val="1"/>
      </c:barChart>
      <c:catAx>
        <c:axId val="192250816"/>
        <c:scaling>
          <c:orientation val="minMax"/>
        </c:scaling>
        <c:delete val="0"/>
        <c:axPos val="l"/>
        <c:majorGridlines>
          <c:spPr>
            <a:ln w="3175">
              <a:solidFill>
                <a:srgbClr val="C0C0C0"/>
              </a:solidFill>
              <a:prstDash val="solid"/>
            </a:ln>
          </c:spPr>
        </c:majorGridlines>
        <c:numFmt formatCode="General" sourceLinked="1"/>
        <c:majorTickMark val="none"/>
        <c:minorTickMark val="none"/>
        <c:tickLblPos val="nextTo"/>
        <c:spPr>
          <a:ln w="3175">
            <a:solidFill>
              <a:srgbClr val="C0C0C0"/>
            </a:solidFill>
            <a:prstDash val="solid"/>
          </a:ln>
        </c:spPr>
        <c:txPr>
          <a:bodyPr rot="0" vert="horz"/>
          <a:lstStyle/>
          <a:p>
            <a:pPr>
              <a:defRPr/>
            </a:pPr>
            <a:endParaRPr lang="fr-FR"/>
          </a:p>
        </c:txPr>
        <c:crossAx val="1"/>
        <c:crosses val="autoZero"/>
        <c:auto val="1"/>
        <c:lblAlgn val="ctr"/>
        <c:lblOffset val="100"/>
        <c:noMultiLvlLbl val="0"/>
      </c:catAx>
      <c:valAx>
        <c:axId val="1"/>
        <c:scaling>
          <c:orientation val="minMax"/>
        </c:scaling>
        <c:delete val="1"/>
        <c:axPos val="b"/>
        <c:title>
          <c:tx>
            <c:rich>
              <a:bodyPr/>
              <a:lstStyle/>
              <a:p>
                <a:pPr>
                  <a:defRPr/>
                </a:pPr>
                <a:r>
                  <a:rPr lang="fr-FR"/>
                  <a:t>Millions d'Euros</a:t>
                </a:r>
              </a:p>
            </c:rich>
          </c:tx>
          <c:layout>
            <c:manualLayout>
              <c:xMode val="edge"/>
              <c:yMode val="edge"/>
              <c:x val="0.86766197929391464"/>
              <c:y val="0.85759158981301298"/>
            </c:manualLayout>
          </c:layout>
          <c:overlay val="0"/>
          <c:spPr>
            <a:noFill/>
            <a:ln>
              <a:noFill/>
            </a:ln>
            <a:effectLst/>
          </c:spPr>
        </c:title>
        <c:numFmt formatCode="#,##0" sourceLinked="1"/>
        <c:majorTickMark val="out"/>
        <c:minorTickMark val="none"/>
        <c:tickLblPos val="nextTo"/>
        <c:crossAx val="192250816"/>
        <c:crosses val="autoZero"/>
        <c:crossBetween val="between"/>
      </c:valAx>
      <c:spPr>
        <a:noFill/>
        <a:ln w="25400">
          <a:noFill/>
        </a:ln>
      </c:spPr>
    </c:plotArea>
    <c:legend>
      <c:legendPos val="b"/>
      <c:overlay val="0"/>
      <c:spPr>
        <a:noFill/>
        <a:ln>
          <a:noFill/>
        </a:ln>
        <a:effectLst/>
      </c:spPr>
    </c:legend>
    <c:plotVisOnly val="1"/>
    <c:dispBlanksAs val="gap"/>
    <c:showDLblsOverMax val="0"/>
  </c:chart>
  <c:spPr>
    <a:solidFill>
      <a:srgbClr val="FFFFFF"/>
    </a:solidFill>
    <a:ln w="3175">
      <a:solidFill>
        <a:srgbClr val="C0C0C0"/>
      </a:solidFill>
      <a:prstDash val="solid"/>
    </a:ln>
  </c:spPr>
  <c:txPr>
    <a:bodyPr/>
    <a:lstStyle/>
    <a:p>
      <a:pPr>
        <a:defRPr sz="800" b="0" i="0" u="none" strike="noStrike" baseline="0">
          <a:solidFill>
            <a:srgbClr val="333333"/>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manualLayout>
          <c:layoutTarget val="inner"/>
          <c:xMode val="edge"/>
          <c:yMode val="edge"/>
          <c:x val="5.8387822892103737E-2"/>
          <c:y val="9.4649000358857704E-2"/>
          <c:w val="0.58722520353745589"/>
          <c:h val="0.78149473152182092"/>
        </c:manualLayout>
      </c:layout>
      <c:lineChart>
        <c:grouping val="standard"/>
        <c:varyColors val="0"/>
        <c:ser>
          <c:idx val="0"/>
          <c:order val="0"/>
          <c:tx>
            <c:strRef>
              <c:f>'Graphique 2'!$A$52</c:f>
              <c:strCache>
                <c:ptCount val="1"/>
                <c:pt idx="0">
                  <c:v>Villes de 3 500 habitants et plus</c:v>
                </c:pt>
              </c:strCache>
            </c:strRef>
          </c:tx>
          <c:spPr>
            <a:ln w="19050">
              <a:solidFill>
                <a:srgbClr val="333399"/>
              </a:solidFill>
              <a:prstDash val="solid"/>
            </a:ln>
          </c:spPr>
          <c:marker>
            <c:symbol val="plus"/>
            <c:size val="5"/>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26-4B36-A812-A86AFD3FAD43}"/>
                </c:ext>
              </c:extLst>
            </c:dLbl>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'Graphique 2'!$B$51:$N$51</c:f>
              <c:numCache>
                <c:formatCode>General</c:formatCode>
                <c:ptCount val="13"/>
                <c:pt idx="0">
                  <c:v>2014</c:v>
                </c:pt>
                <c:pt idx="1">
                  <c:v>2015</c:v>
                </c:pt>
                <c:pt idx="2">
                  <c:v>2016</c:v>
                </c:pt>
                <c:pt idx="3">
                  <c:v>2017</c:v>
                </c:pt>
                <c:pt idx="4">
                  <c:v>2018</c:v>
                </c:pt>
                <c:pt idx="5">
                  <c:v>2019</c:v>
                </c:pt>
                <c:pt idx="6" formatCode="0_ ;[Red]\-0\ ">
                  <c:v>2020</c:v>
                </c:pt>
                <c:pt idx="7" formatCode="0_ ;[Red]\-0\ ">
                  <c:v>2021</c:v>
                </c:pt>
                <c:pt idx="8">
                  <c:v>2022</c:v>
                </c:pt>
                <c:pt idx="9">
                  <c:v>2023</c:v>
                </c:pt>
                <c:pt idx="10">
                  <c:v>2024</c:v>
                </c:pt>
                <c:pt idx="11">
                  <c:v>2025</c:v>
                </c:pt>
                <c:pt idx="12">
                  <c:v>2026</c:v>
                </c:pt>
              </c:numCache>
            </c:numRef>
          </c:cat>
          <c:val>
            <c:numRef>
              <c:f>'Graphique 2'!$B$52:$N$52</c:f>
              <c:numCache>
                <c:formatCode>#,##0</c:formatCode>
                <c:ptCount val="13"/>
                <c:pt idx="0">
                  <c:v>6818.9520254043964</c:v>
                </c:pt>
                <c:pt idx="1">
                  <c:v>6216.2673227934529</c:v>
                </c:pt>
                <c:pt idx="2">
                  <c:v>6064.7621994169513</c:v>
                </c:pt>
                <c:pt idx="3">
                  <c:v>6137.4301657603382</c:v>
                </c:pt>
                <c:pt idx="4">
                  <c:v>6151.6084229697371</c:v>
                </c:pt>
                <c:pt idx="5">
                  <c:v>6492.9430560386782</c:v>
                </c:pt>
                <c:pt idx="6">
                  <c:v>5950.72162307708</c:v>
                </c:pt>
                <c:pt idx="7">
                  <c:v>6189.4259130522842</c:v>
                </c:pt>
                <c:pt idx="8">
                  <c:v>6305.459014871064</c:v>
                </c:pt>
                <c:pt idx="9" formatCode="General">
                  <c:v>6318</c:v>
                </c:pt>
              </c:numCache>
            </c:numRef>
          </c:val>
          <c:smooth val="0"/>
          <c:extLst>
            <c:ext xmlns:c16="http://schemas.microsoft.com/office/drawing/2014/chart" uri="{C3380CC4-5D6E-409C-BE32-E72D297353CC}">
              <c16:uniqueId val="{00000000-0EAB-49E0-B56D-FCF52D833139}"/>
            </c:ext>
          </c:extLst>
        </c:ser>
        <c:ser>
          <c:idx val="1"/>
          <c:order val="1"/>
          <c:tx>
            <c:strRef>
              <c:f>'Graphique 2'!$A$53</c:f>
              <c:strCache>
                <c:ptCount val="1"/>
                <c:pt idx="0">
                  <c:v>Crédits du budget général des autres ministères et budgets annexes 
(crédits exécutés jusqu'en 2024, LFI pour 2025 et PLF 2026)</c:v>
                </c:pt>
              </c:strCache>
            </c:strRef>
          </c:tx>
          <c:spPr>
            <a:ln w="19050">
              <a:solidFill>
                <a:srgbClr val="333333"/>
              </a:solidFill>
              <a:prstDash val="sysDash"/>
            </a:ln>
          </c:spPr>
          <c:marker>
            <c:symbol val="triangle"/>
            <c:size val="5"/>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'Graphique 2'!$B$51:$N$51</c:f>
              <c:numCache>
                <c:formatCode>General</c:formatCode>
                <c:ptCount val="13"/>
                <c:pt idx="0">
                  <c:v>2014</c:v>
                </c:pt>
                <c:pt idx="1">
                  <c:v>2015</c:v>
                </c:pt>
                <c:pt idx="2">
                  <c:v>2016</c:v>
                </c:pt>
                <c:pt idx="3">
                  <c:v>2017</c:v>
                </c:pt>
                <c:pt idx="4">
                  <c:v>2018</c:v>
                </c:pt>
                <c:pt idx="5">
                  <c:v>2019</c:v>
                </c:pt>
                <c:pt idx="6" formatCode="0_ ;[Red]\-0\ ">
                  <c:v>2020</c:v>
                </c:pt>
                <c:pt idx="7" formatCode="0_ ;[Red]\-0\ ">
                  <c:v>2021</c:v>
                </c:pt>
                <c:pt idx="8">
                  <c:v>2022</c:v>
                </c:pt>
                <c:pt idx="9">
                  <c:v>2023</c:v>
                </c:pt>
                <c:pt idx="10">
                  <c:v>2024</c:v>
                </c:pt>
                <c:pt idx="11">
                  <c:v>2025</c:v>
                </c:pt>
                <c:pt idx="12">
                  <c:v>2026</c:v>
                </c:pt>
              </c:numCache>
            </c:numRef>
          </c:cat>
          <c:val>
            <c:numRef>
              <c:f>'Graphique 2'!$B$53:$N$53</c:f>
              <c:numCache>
                <c:formatCode>#,##0</c:formatCode>
                <c:ptCount val="13"/>
                <c:pt idx="0">
                  <c:v>4506.8640276248625</c:v>
                </c:pt>
                <c:pt idx="1">
                  <c:v>4689.8599999999988</c:v>
                </c:pt>
                <c:pt idx="2">
                  <c:v>4938.6500348918353</c:v>
                </c:pt>
                <c:pt idx="3">
                  <c:v>5027.4756578299011</c:v>
                </c:pt>
                <c:pt idx="4">
                  <c:v>5047.8450289575285</c:v>
                </c:pt>
                <c:pt idx="5">
                  <c:v>4993.2122915674126</c:v>
                </c:pt>
                <c:pt idx="6">
                  <c:v>5368.2921327014219</c:v>
                </c:pt>
                <c:pt idx="7">
                  <c:v>5356.5204309063884</c:v>
                </c:pt>
                <c:pt idx="8">
                  <c:v>5283.6883111189045</c:v>
                </c:pt>
                <c:pt idx="9">
                  <c:v>5090.7199999999984</c:v>
                </c:pt>
                <c:pt idx="10">
                  <c:v>5316.16</c:v>
                </c:pt>
                <c:pt idx="11">
                  <c:v>5008.1899999999987</c:v>
                </c:pt>
                <c:pt idx="12">
                  <c:v>5096.6100000000006</c:v>
                </c:pt>
              </c:numCache>
            </c:numRef>
          </c:val>
          <c:smooth val="0"/>
          <c:extLst>
            <c:ext xmlns:c16="http://schemas.microsoft.com/office/drawing/2014/chart" uri="{C3380CC4-5D6E-409C-BE32-E72D297353CC}">
              <c16:uniqueId val="{00000004-0EAB-49E0-B56D-FCF52D833139}"/>
            </c:ext>
          </c:extLst>
        </c:ser>
        <c:ser>
          <c:idx val="2"/>
          <c:order val="2"/>
          <c:tx>
            <c:strRef>
              <c:f>'Graphique 2'!$A$54</c:f>
              <c:strCache>
                <c:ptCount val="1"/>
                <c:pt idx="0">
                  <c:v>Budget du ministère de la Culture (crédits exécutés jusqu'en 2024, LFI 2025, PLF 2026)</c:v>
                </c:pt>
              </c:strCache>
            </c:strRef>
          </c:tx>
          <c:spPr>
            <a:ln w="19050">
              <a:solidFill>
                <a:srgbClr val="333333"/>
              </a:solidFill>
              <a:prstDash val="solid"/>
            </a:ln>
          </c:spPr>
          <c:marker>
            <c:symbol val="plus"/>
            <c:size val="5"/>
          </c:marker>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'Graphique 2'!$B$51:$N$51</c:f>
              <c:numCache>
                <c:formatCode>General</c:formatCode>
                <c:ptCount val="13"/>
                <c:pt idx="0">
                  <c:v>2014</c:v>
                </c:pt>
                <c:pt idx="1">
                  <c:v>2015</c:v>
                </c:pt>
                <c:pt idx="2">
                  <c:v>2016</c:v>
                </c:pt>
                <c:pt idx="3">
                  <c:v>2017</c:v>
                </c:pt>
                <c:pt idx="4">
                  <c:v>2018</c:v>
                </c:pt>
                <c:pt idx="5">
                  <c:v>2019</c:v>
                </c:pt>
                <c:pt idx="6" formatCode="0_ ;[Red]\-0\ ">
                  <c:v>2020</c:v>
                </c:pt>
                <c:pt idx="7" formatCode="0_ ;[Red]\-0\ ">
                  <c:v>2021</c:v>
                </c:pt>
                <c:pt idx="8">
                  <c:v>2022</c:v>
                </c:pt>
                <c:pt idx="9">
                  <c:v>2023</c:v>
                </c:pt>
                <c:pt idx="10">
                  <c:v>2024</c:v>
                </c:pt>
                <c:pt idx="11">
                  <c:v>2025</c:v>
                </c:pt>
                <c:pt idx="12">
                  <c:v>2026</c:v>
                </c:pt>
              </c:numCache>
            </c:numRef>
          </c:cat>
          <c:val>
            <c:numRef>
              <c:f>'Graphique 2'!$B$54:$N$54</c:f>
              <c:numCache>
                <c:formatCode>#,##0</c:formatCode>
                <c:ptCount val="13"/>
                <c:pt idx="0">
                  <c:v>4032.8069352825041</c:v>
                </c:pt>
                <c:pt idx="1">
                  <c:v>3975.00253581165</c:v>
                </c:pt>
                <c:pt idx="2">
                  <c:v>3923.6759701674805</c:v>
                </c:pt>
                <c:pt idx="3">
                  <c:v>4169.6657632797878</c:v>
                </c:pt>
                <c:pt idx="4">
                  <c:v>4153.8536679536683</c:v>
                </c:pt>
                <c:pt idx="5">
                  <c:v>4171.3919580752736</c:v>
                </c:pt>
                <c:pt idx="6">
                  <c:v>5045.8992369668249</c:v>
                </c:pt>
                <c:pt idx="7">
                  <c:v>5125.8906801541598</c:v>
                </c:pt>
                <c:pt idx="8">
                  <c:v>4476.9330817476321</c:v>
                </c:pt>
                <c:pt idx="9">
                  <c:v>4591.3452360000001</c:v>
                </c:pt>
                <c:pt idx="10">
                  <c:v>4576.2700000000004</c:v>
                </c:pt>
                <c:pt idx="11">
                  <c:v>4638.0312780000004</c:v>
                </c:pt>
                <c:pt idx="12">
                  <c:v>4438.0399699999998</c:v>
                </c:pt>
              </c:numCache>
            </c:numRef>
          </c:val>
          <c:smooth val="0"/>
          <c:extLst>
            <c:ext xmlns:c16="http://schemas.microsoft.com/office/drawing/2014/chart" uri="{C3380CC4-5D6E-409C-BE32-E72D297353CC}">
              <c16:uniqueId val="{0000000A-0EAB-49E0-B56D-FCF52D833139}"/>
            </c:ext>
          </c:extLst>
        </c:ser>
        <c:ser>
          <c:idx val="3"/>
          <c:order val="3"/>
          <c:tx>
            <c:strRef>
              <c:f>'Graphique 2'!$A$55</c:f>
              <c:strCache>
                <c:ptCount val="1"/>
                <c:pt idx="0">
                  <c:v>EPCI comportant au moins une ville de 3 500 habitants ou plus</c:v>
                </c:pt>
              </c:strCache>
            </c:strRef>
          </c:tx>
          <c:spPr>
            <a:ln w="19050">
              <a:solidFill>
                <a:srgbClr val="666699"/>
              </a:solidFill>
              <a:prstDash val="solid"/>
            </a:ln>
          </c:spPr>
          <c:marker>
            <c:symbol val="plus"/>
            <c:size val="5"/>
            <c:spPr>
              <a:ln>
                <a:solidFill>
                  <a:schemeClr val="accent5"/>
                </a:solidFill>
              </a:ln>
            </c:spPr>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'Graphique 2'!$B$51:$N$51</c:f>
              <c:numCache>
                <c:formatCode>General</c:formatCode>
                <c:ptCount val="13"/>
                <c:pt idx="0">
                  <c:v>2014</c:v>
                </c:pt>
                <c:pt idx="1">
                  <c:v>2015</c:v>
                </c:pt>
                <c:pt idx="2">
                  <c:v>2016</c:v>
                </c:pt>
                <c:pt idx="3">
                  <c:v>2017</c:v>
                </c:pt>
                <c:pt idx="4">
                  <c:v>2018</c:v>
                </c:pt>
                <c:pt idx="5">
                  <c:v>2019</c:v>
                </c:pt>
                <c:pt idx="6" formatCode="0_ ;[Red]\-0\ ">
                  <c:v>2020</c:v>
                </c:pt>
                <c:pt idx="7" formatCode="0_ ;[Red]\-0\ ">
                  <c:v>2021</c:v>
                </c:pt>
                <c:pt idx="8">
                  <c:v>2022</c:v>
                </c:pt>
                <c:pt idx="9">
                  <c:v>2023</c:v>
                </c:pt>
                <c:pt idx="10">
                  <c:v>2024</c:v>
                </c:pt>
                <c:pt idx="11">
                  <c:v>2025</c:v>
                </c:pt>
                <c:pt idx="12">
                  <c:v>2026</c:v>
                </c:pt>
              </c:numCache>
            </c:numRef>
          </c:cat>
          <c:val>
            <c:numRef>
              <c:f>'Graphique 2'!$B$55:$N$55</c:f>
              <c:numCache>
                <c:formatCode>#,##0</c:formatCode>
                <c:ptCount val="13"/>
                <c:pt idx="0">
                  <c:v>2021.5028765039235</c:v>
                </c:pt>
                <c:pt idx="1">
                  <c:v>1943.0994678061836</c:v>
                </c:pt>
                <c:pt idx="2">
                  <c:v>2031.0845986433271</c:v>
                </c:pt>
                <c:pt idx="3">
                  <c:v>2131.2737032696245</c:v>
                </c:pt>
                <c:pt idx="4">
                  <c:v>2213.4280751333763</c:v>
                </c:pt>
                <c:pt idx="5">
                  <c:v>2337.718511667023</c:v>
                </c:pt>
                <c:pt idx="6">
                  <c:v>2062.5329680534915</c:v>
                </c:pt>
                <c:pt idx="7">
                  <c:v>2272.9471811340081</c:v>
                </c:pt>
                <c:pt idx="8">
                  <c:v>2314.5488536964299</c:v>
                </c:pt>
                <c:pt idx="9" formatCode="General">
                  <c:v>2401</c:v>
                </c:pt>
              </c:numCache>
            </c:numRef>
          </c:val>
          <c:smooth val="0"/>
          <c:extLst>
            <c:ext xmlns:c16="http://schemas.microsoft.com/office/drawing/2014/chart" uri="{C3380CC4-5D6E-409C-BE32-E72D297353CC}">
              <c16:uniqueId val="{0000000B-0EAB-49E0-B56D-FCF52D833139}"/>
            </c:ext>
          </c:extLst>
        </c:ser>
        <c:ser>
          <c:idx val="4"/>
          <c:order val="4"/>
          <c:tx>
            <c:strRef>
              <c:f>'Graphique 2'!$A$56</c:f>
              <c:strCache>
                <c:ptCount val="1"/>
                <c:pt idx="0">
                  <c:v>Départements**</c:v>
                </c:pt>
              </c:strCache>
            </c:strRef>
          </c:tx>
          <c:spPr>
            <a:ln w="25400" cap="flat" cmpd="dbl" algn="ctr">
              <a:solidFill>
                <a:srgbClr val="002060"/>
              </a:solidFill>
              <a:prstDash val="sysDot"/>
              <a:miter lim="800000"/>
            </a:ln>
            <a:effectLst/>
          </c:spPr>
          <c:marker>
            <c:symbol val="diamond"/>
            <c:size val="5"/>
            <c:spPr>
              <a:ln>
                <a:solidFill>
                  <a:schemeClr val="accent5"/>
                </a:solidFill>
              </a:ln>
            </c:spPr>
          </c:marker>
          <c:dLbls>
            <c:dLbl>
              <c:idx val="0"/>
              <c:layout>
                <c:manualLayout>
                  <c:x val="-2.4653962614869705E-2"/>
                  <c:y val="-2.72259848204775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EAB-49E0-B56D-FCF52D833139}"/>
                </c:ext>
              </c:extLst>
            </c:dLbl>
            <c:dLbl>
              <c:idx val="1"/>
              <c:layout>
                <c:manualLayout>
                  <c:x val="-2.5976773318887269E-2"/>
                  <c:y val="-2.43578332944514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EAB-49E0-B56D-FCF52D833139}"/>
                </c:ext>
              </c:extLst>
            </c:dLbl>
            <c:dLbl>
              <c:idx val="6"/>
              <c:spPr>
                <a:noFill/>
                <a:ln>
                  <a:noFill/>
                </a:ln>
                <a:effectLst/>
              </c:spPr>
              <c:txPr>
                <a:bodyPr/>
                <a:lstStyle/>
                <a:p>
                  <a:pPr>
                    <a:defRPr>
                      <a:solidFill>
                        <a:sysClr val="windowText" lastClr="000000"/>
                      </a:solidFill>
                    </a:defRPr>
                  </a:pPr>
                  <a:endParaRPr lang="fr-FR"/>
                </a:p>
              </c:txPr>
              <c:dLblPos val="t"/>
              <c:showLegendKey val="0"/>
              <c:showVal val="1"/>
              <c:showCatName val="0"/>
              <c:showSerName val="0"/>
              <c:showPercent val="0"/>
              <c:showBubbleSize val="0"/>
              <c:extLst>
                <c:ext xmlns:c16="http://schemas.microsoft.com/office/drawing/2014/chart" uri="{C3380CC4-5D6E-409C-BE32-E72D297353CC}">
                  <c16:uniqueId val="{00000005-2542-45F4-8B01-4F1CABFC2D3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'Graphique 2'!$B$51:$N$51</c:f>
              <c:numCache>
                <c:formatCode>General</c:formatCode>
                <c:ptCount val="13"/>
                <c:pt idx="0">
                  <c:v>2014</c:v>
                </c:pt>
                <c:pt idx="1">
                  <c:v>2015</c:v>
                </c:pt>
                <c:pt idx="2">
                  <c:v>2016</c:v>
                </c:pt>
                <c:pt idx="3">
                  <c:v>2017</c:v>
                </c:pt>
                <c:pt idx="4">
                  <c:v>2018</c:v>
                </c:pt>
                <c:pt idx="5">
                  <c:v>2019</c:v>
                </c:pt>
                <c:pt idx="6" formatCode="0_ ;[Red]\-0\ ">
                  <c:v>2020</c:v>
                </c:pt>
                <c:pt idx="7" formatCode="0_ ;[Red]\-0\ ">
                  <c:v>2021</c:v>
                </c:pt>
                <c:pt idx="8">
                  <c:v>2022</c:v>
                </c:pt>
                <c:pt idx="9">
                  <c:v>2023</c:v>
                </c:pt>
                <c:pt idx="10">
                  <c:v>2024</c:v>
                </c:pt>
                <c:pt idx="11">
                  <c:v>2025</c:v>
                </c:pt>
                <c:pt idx="12">
                  <c:v>2026</c:v>
                </c:pt>
              </c:numCache>
            </c:numRef>
          </c:cat>
          <c:val>
            <c:numRef>
              <c:f>'Graphique 2'!$B$56:$N$56</c:f>
              <c:numCache>
                <c:formatCode>#,##0</c:formatCode>
                <c:ptCount val="13"/>
                <c:pt idx="0">
                  <c:v>1608.513403920319</c:v>
                </c:pt>
                <c:pt idx="1">
                  <c:v>1473.999373633678</c:v>
                </c:pt>
                <c:pt idx="2">
                  <c:v>1422.2964992844491</c:v>
                </c:pt>
                <c:pt idx="3">
                  <c:v>1335.6734104838047</c:v>
                </c:pt>
                <c:pt idx="4">
                  <c:v>1288.8401151445639</c:v>
                </c:pt>
                <c:pt idx="5">
                  <c:v>1334.946231505869</c:v>
                </c:pt>
                <c:pt idx="6">
                  <c:v>1053.863965901003</c:v>
                </c:pt>
                <c:pt idx="7">
                  <c:v>1255.0218979818906</c:v>
                </c:pt>
                <c:pt idx="8">
                  <c:v>1254.9845343587917</c:v>
                </c:pt>
                <c:pt idx="9" formatCode="General">
                  <c:v>1234</c:v>
                </c:pt>
              </c:numCache>
            </c:numRef>
          </c:val>
          <c:smooth val="0"/>
          <c:extLst>
            <c:ext xmlns:c16="http://schemas.microsoft.com/office/drawing/2014/chart" uri="{C3380CC4-5D6E-409C-BE32-E72D297353CC}">
              <c16:uniqueId val="{0000000E-0EAB-49E0-B56D-FCF52D833139}"/>
            </c:ext>
          </c:extLst>
        </c:ser>
        <c:ser>
          <c:idx val="5"/>
          <c:order val="5"/>
          <c:tx>
            <c:strRef>
              <c:f>'Graphique 2'!$A$57</c:f>
              <c:strCache>
                <c:ptCount val="1"/>
                <c:pt idx="0">
                  <c:v>Régions</c:v>
                </c:pt>
              </c:strCache>
            </c:strRef>
          </c:tx>
          <c:spPr>
            <a:ln w="38100">
              <a:solidFill>
                <a:srgbClr val="CCCCFF"/>
              </a:solidFill>
              <a:prstDash val="solid"/>
            </a:ln>
          </c:spPr>
          <c:marker>
            <c:symbol val="square"/>
            <c:size val="5"/>
            <c:spPr>
              <a:ln>
                <a:solidFill>
                  <a:schemeClr val="accent5"/>
                </a:solidFill>
              </a:ln>
            </c:spPr>
          </c:marker>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'Graphique 2'!$B$51:$N$51</c:f>
              <c:numCache>
                <c:formatCode>General</c:formatCode>
                <c:ptCount val="13"/>
                <c:pt idx="0">
                  <c:v>2014</c:v>
                </c:pt>
                <c:pt idx="1">
                  <c:v>2015</c:v>
                </c:pt>
                <c:pt idx="2">
                  <c:v>2016</c:v>
                </c:pt>
                <c:pt idx="3">
                  <c:v>2017</c:v>
                </c:pt>
                <c:pt idx="4">
                  <c:v>2018</c:v>
                </c:pt>
                <c:pt idx="5">
                  <c:v>2019</c:v>
                </c:pt>
                <c:pt idx="6" formatCode="0_ ;[Red]\-0\ ">
                  <c:v>2020</c:v>
                </c:pt>
                <c:pt idx="7" formatCode="0_ ;[Red]\-0\ ">
                  <c:v>2021</c:v>
                </c:pt>
                <c:pt idx="8">
                  <c:v>2022</c:v>
                </c:pt>
                <c:pt idx="9">
                  <c:v>2023</c:v>
                </c:pt>
                <c:pt idx="10">
                  <c:v>2024</c:v>
                </c:pt>
                <c:pt idx="11">
                  <c:v>2025</c:v>
                </c:pt>
                <c:pt idx="12">
                  <c:v>2026</c:v>
                </c:pt>
              </c:numCache>
            </c:numRef>
          </c:cat>
          <c:val>
            <c:numRef>
              <c:f>'Graphique 2'!$B$57:$N$57</c:f>
              <c:numCache>
                <c:formatCode>#,##0</c:formatCode>
                <c:ptCount val="13"/>
                <c:pt idx="0">
                  <c:v>891.49167224380199</c:v>
                </c:pt>
                <c:pt idx="1">
                  <c:v>925.78295983365297</c:v>
                </c:pt>
                <c:pt idx="2">
                  <c:v>821.30088071227146</c:v>
                </c:pt>
                <c:pt idx="3">
                  <c:v>804.57676321065435</c:v>
                </c:pt>
                <c:pt idx="4">
                  <c:v>836.36677880061291</c:v>
                </c:pt>
                <c:pt idx="5">
                  <c:v>856.06134959458575</c:v>
                </c:pt>
                <c:pt idx="6">
                  <c:v>897.92867378213225</c:v>
                </c:pt>
                <c:pt idx="7">
                  <c:v>846.06842510331523</c:v>
                </c:pt>
                <c:pt idx="8">
                  <c:v>830.08709713187443</c:v>
                </c:pt>
                <c:pt idx="9" formatCode="General">
                  <c:v>781</c:v>
                </c:pt>
              </c:numCache>
            </c:numRef>
          </c:val>
          <c:smooth val="0"/>
          <c:extLst>
            <c:ext xmlns:c16="http://schemas.microsoft.com/office/drawing/2014/chart" uri="{C3380CC4-5D6E-409C-BE32-E72D297353CC}">
              <c16:uniqueId val="{00000010-0EAB-49E0-B56D-FCF52D833139}"/>
            </c:ext>
          </c:extLst>
        </c:ser>
        <c:dLbls>
          <c:showLegendKey val="0"/>
          <c:showVal val="0"/>
          <c:showCatName val="0"/>
          <c:showSerName val="0"/>
          <c:showPercent val="0"/>
          <c:showBubbleSize val="0"/>
        </c:dLbls>
        <c:marker val="1"/>
        <c:smooth val="0"/>
        <c:axId val="193351424"/>
        <c:axId val="1"/>
      </c:lineChart>
      <c:catAx>
        <c:axId val="193351424"/>
        <c:scaling>
          <c:orientation val="minMax"/>
        </c:scaling>
        <c:delete val="0"/>
        <c:axPos val="b"/>
        <c:majorGridlines>
          <c:spPr>
            <a:ln w="3175">
              <a:solidFill>
                <a:srgbClr val="C0C0C0"/>
              </a:solidFill>
              <a:prstDash val="solid"/>
            </a:ln>
          </c:spPr>
        </c:majorGridlines>
        <c:title>
          <c:tx>
            <c:rich>
              <a:bodyPr/>
              <a:lstStyle/>
              <a:p>
                <a:pPr>
                  <a:defRPr/>
                </a:pPr>
                <a:r>
                  <a:rPr lang="fr-FR"/>
                  <a:t>Années</a:t>
                </a:r>
              </a:p>
            </c:rich>
          </c:tx>
          <c:layout>
            <c:manualLayout>
              <c:xMode val="edge"/>
              <c:yMode val="edge"/>
              <c:x val="0.34305623768859872"/>
              <c:y val="0.94211972777031971"/>
            </c:manualLayout>
          </c:layout>
          <c:overlay val="0"/>
          <c:spPr>
            <a:noFill/>
            <a:ln>
              <a:noFill/>
            </a:ln>
            <a:effectLst/>
          </c:spPr>
        </c:title>
        <c:numFmt formatCode="General" sourceLinked="1"/>
        <c:majorTickMark val="none"/>
        <c:minorTickMark val="none"/>
        <c:tickLblPos val="nextTo"/>
        <c:spPr>
          <a:ln w="3175">
            <a:solidFill>
              <a:schemeClr val="tx1"/>
            </a:solidFill>
            <a:prstDash val="solid"/>
          </a:ln>
        </c:spPr>
        <c:txPr>
          <a:bodyPr rot="0" vert="horz"/>
          <a:lstStyle/>
          <a:p>
            <a:pPr>
              <a:defRPr/>
            </a:pPr>
            <a:endParaRPr lang="fr-FR"/>
          </a:p>
        </c:txPr>
        <c:crossAx val="1"/>
        <c:crosses val="autoZero"/>
        <c:auto val="1"/>
        <c:lblAlgn val="ctr"/>
        <c:lblOffset val="100"/>
        <c:noMultiLvlLbl val="0"/>
      </c:catAx>
      <c:valAx>
        <c:axId val="1"/>
        <c:scaling>
          <c:orientation val="minMax"/>
          <c:max val="7000"/>
        </c:scaling>
        <c:delete val="0"/>
        <c:axPos val="l"/>
        <c:majorGridlines>
          <c:spPr>
            <a:ln w="3175">
              <a:solidFill>
                <a:srgbClr val="C0C0C0"/>
              </a:solidFill>
              <a:prstDash val="solid"/>
            </a:ln>
          </c:spPr>
        </c:majorGridlines>
        <c:title>
          <c:tx>
            <c:rich>
              <a:bodyPr rot="0" vert="horz"/>
              <a:lstStyle/>
              <a:p>
                <a:pPr>
                  <a:defRPr/>
                </a:pPr>
                <a:r>
                  <a:rPr lang="en-US"/>
                  <a:t>Millions d'euros</a:t>
                </a:r>
              </a:p>
            </c:rich>
          </c:tx>
          <c:layout>
            <c:manualLayout>
              <c:xMode val="edge"/>
              <c:yMode val="edge"/>
              <c:x val="4.6105152348914135E-3"/>
              <c:y val="2.0471369885036887E-2"/>
            </c:manualLayout>
          </c:layout>
          <c:overlay val="0"/>
        </c:title>
        <c:numFmt formatCode="#,##0" sourceLinked="1"/>
        <c:majorTickMark val="none"/>
        <c:minorTickMark val="none"/>
        <c:tickLblPos val="nextTo"/>
        <c:spPr>
          <a:ln w="3175">
            <a:solidFill>
              <a:schemeClr val="tx1"/>
            </a:solidFill>
            <a:prstDash val="solid"/>
          </a:ln>
        </c:spPr>
        <c:txPr>
          <a:bodyPr rot="0" vert="horz"/>
          <a:lstStyle/>
          <a:p>
            <a:pPr>
              <a:defRPr/>
            </a:pPr>
            <a:endParaRPr lang="fr-FR"/>
          </a:p>
        </c:txPr>
        <c:crossAx val="193351424"/>
        <c:crosses val="autoZero"/>
        <c:crossBetween val="between"/>
        <c:majorUnit val="500"/>
      </c:valAx>
      <c:spPr>
        <a:noFill/>
        <a:ln w="25400">
          <a:noFill/>
        </a:ln>
      </c:spPr>
    </c:plotArea>
    <c:legend>
      <c:legendPos val="r"/>
      <c:legendEntry>
        <c:idx val="0"/>
        <c:txPr>
          <a:bodyPr/>
          <a:lstStyle/>
          <a:p>
            <a:pPr>
              <a:defRPr baseline="0">
                <a:solidFill>
                  <a:schemeClr val="accent5"/>
                </a:solidFill>
              </a:defRPr>
            </a:pPr>
            <a:endParaRPr lang="fr-FR"/>
          </a:p>
        </c:txPr>
      </c:legendEntry>
      <c:legendEntry>
        <c:idx val="3"/>
        <c:txPr>
          <a:bodyPr/>
          <a:lstStyle/>
          <a:p>
            <a:pPr>
              <a:defRPr baseline="0">
                <a:solidFill>
                  <a:schemeClr val="accent5"/>
                </a:solidFill>
              </a:defRPr>
            </a:pPr>
            <a:endParaRPr lang="fr-FR"/>
          </a:p>
        </c:txPr>
      </c:legendEntry>
      <c:legendEntry>
        <c:idx val="4"/>
        <c:txPr>
          <a:bodyPr/>
          <a:lstStyle/>
          <a:p>
            <a:pPr>
              <a:defRPr baseline="0">
                <a:solidFill>
                  <a:schemeClr val="accent5"/>
                </a:solidFill>
              </a:defRPr>
            </a:pPr>
            <a:endParaRPr lang="fr-FR"/>
          </a:p>
        </c:txPr>
      </c:legendEntry>
      <c:legendEntry>
        <c:idx val="5"/>
        <c:txPr>
          <a:bodyPr/>
          <a:lstStyle/>
          <a:p>
            <a:pPr>
              <a:defRPr baseline="0">
                <a:solidFill>
                  <a:schemeClr val="accent5"/>
                </a:solidFill>
              </a:defRPr>
            </a:pPr>
            <a:endParaRPr lang="fr-FR"/>
          </a:p>
        </c:txPr>
      </c:legendEntry>
      <c:layout>
        <c:manualLayout>
          <c:xMode val="edge"/>
          <c:yMode val="edge"/>
          <c:x val="0.6565703729708946"/>
          <c:y val="0.12259987039306081"/>
          <c:w val="0.33464940668824167"/>
          <c:h val="0.75299677317331803"/>
        </c:manualLayout>
      </c:layout>
      <c:overlay val="0"/>
      <c:spPr>
        <a:noFill/>
        <a:ln>
          <a:noFill/>
        </a:ln>
        <a:effectLst/>
      </c:spPr>
    </c:legend>
    <c:plotVisOnly val="1"/>
    <c:dispBlanksAs val="gap"/>
    <c:showDLblsOverMax val="0"/>
  </c:chart>
  <c:spPr>
    <a:solidFill>
      <a:srgbClr val="FFFFFF"/>
    </a:solidFill>
    <a:ln w="3175">
      <a:solidFill>
        <a:srgbClr val="C0C0C0"/>
      </a:solidFill>
      <a:prstDash val="solid"/>
    </a:ln>
  </c:spPr>
  <c:txPr>
    <a:bodyPr/>
    <a:lstStyle/>
    <a:p>
      <a:pPr>
        <a:defRPr sz="800" b="0" i="0" u="none" strike="noStrike" baseline="0">
          <a:solidFill>
            <a:srgbClr val="333333"/>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'Graphique 3'!$A$5</c:f>
              <c:strCache>
                <c:ptCount val="1"/>
                <c:pt idx="0">
                  <c:v>Total</c:v>
                </c:pt>
              </c:strCache>
            </c:strRef>
          </c:tx>
          <c:spPr>
            <a:ln w="28575" cap="rnd">
              <a:solidFill>
                <a:schemeClr val="tx1">
                  <a:lumMod val="50000"/>
                  <a:lumOff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3'!$B$4:$L$4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'Graphique 3'!$B$5:$L$5</c:f>
              <c:numCache>
                <c:formatCode>#,##0</c:formatCode>
                <c:ptCount val="11"/>
                <c:pt idx="0">
                  <c:v>12142.664397958164</c:v>
                </c:pt>
                <c:pt idx="1">
                  <c:v>12075.0226</c:v>
                </c:pt>
                <c:pt idx="2">
                  <c:v>12399.058119828533</c:v>
                </c:pt>
                <c:pt idx="3">
                  <c:v>12985.121020991426</c:v>
                </c:pt>
                <c:pt idx="4">
                  <c:v>13811.812162162163</c:v>
                </c:pt>
                <c:pt idx="5">
                  <c:v>14397.734540257265</c:v>
                </c:pt>
                <c:pt idx="6">
                  <c:v>13360.896398104267</c:v>
                </c:pt>
                <c:pt idx="7">
                  <c:v>15766.189635958395</c:v>
                </c:pt>
                <c:pt idx="8">
                  <c:v>15732.340231497721</c:v>
                </c:pt>
                <c:pt idx="9">
                  <c:v>15882.412199170125</c:v>
                </c:pt>
                <c:pt idx="10">
                  <c:v>16956</c:v>
                </c:pt>
              </c:numCache>
            </c:numRef>
          </c:val>
          <c:smooth val="0"/>
          <c:extLst>
            <c:ext xmlns:c16="http://schemas.microsoft.com/office/drawing/2014/chart" uri="{C3380CC4-5D6E-409C-BE32-E72D297353CC}">
              <c16:uniqueId val="{00000000-DDD8-4F44-9EDE-D2DD447B9D52}"/>
            </c:ext>
          </c:extLst>
        </c:ser>
        <c:ser>
          <c:idx val="1"/>
          <c:order val="1"/>
          <c:tx>
            <c:strRef>
              <c:f>'Graphique 3'!$A$6</c:f>
              <c:strCache>
                <c:ptCount val="1"/>
                <c:pt idx="0">
                  <c:v>Presse</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3'!$B$4:$L$4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'Graphique 3'!$B$6:$L$6</c:f>
              <c:numCache>
                <c:formatCode>#,##0</c:formatCode>
                <c:ptCount val="11"/>
                <c:pt idx="0">
                  <c:v>3310.8504654188773</c:v>
                </c:pt>
                <c:pt idx="1">
                  <c:v>3020.605</c:v>
                </c:pt>
                <c:pt idx="2">
                  <c:v>2809.6993320705815</c:v>
                </c:pt>
                <c:pt idx="3">
                  <c:v>2770.2887552971324</c:v>
                </c:pt>
                <c:pt idx="4">
                  <c:v>2570.5250965250966</c:v>
                </c:pt>
                <c:pt idx="5">
                  <c:v>2414.1110052405907</c:v>
                </c:pt>
                <c:pt idx="6">
                  <c:v>1887.3303317535547</c:v>
                </c:pt>
                <c:pt idx="7">
                  <c:v>2064.3747213967313</c:v>
                </c:pt>
                <c:pt idx="8">
                  <c:v>1943.8391792353561</c:v>
                </c:pt>
                <c:pt idx="9">
                  <c:v>1781.3102904564316</c:v>
                </c:pt>
                <c:pt idx="10">
                  <c:v>1654</c:v>
                </c:pt>
              </c:numCache>
            </c:numRef>
          </c:val>
          <c:smooth val="0"/>
          <c:extLst>
            <c:ext xmlns:c16="http://schemas.microsoft.com/office/drawing/2014/chart" uri="{C3380CC4-5D6E-409C-BE32-E72D297353CC}">
              <c16:uniqueId val="{00000001-DDD8-4F44-9EDE-D2DD447B9D52}"/>
            </c:ext>
          </c:extLst>
        </c:ser>
        <c:ser>
          <c:idx val="2"/>
          <c:order val="2"/>
          <c:tx>
            <c:strRef>
              <c:f>'Graphique 3'!$A$7</c:f>
              <c:strCache>
                <c:ptCount val="1"/>
                <c:pt idx="0">
                  <c:v>Télévision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3'!$B$4:$L$4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'Graphique 3'!$B$7:$L$7</c:f>
              <c:numCache>
                <c:formatCode>#,##0</c:formatCode>
                <c:ptCount val="11"/>
                <c:pt idx="0">
                  <c:v>3975.9821839655697</c:v>
                </c:pt>
                <c:pt idx="1">
                  <c:v>3997.0617999999999</c:v>
                </c:pt>
                <c:pt idx="2">
                  <c:v>3998.2291895125118</c:v>
                </c:pt>
                <c:pt idx="3">
                  <c:v>4070.3804080023656</c:v>
                </c:pt>
                <c:pt idx="4">
                  <c:v>4075.9483590733594</c:v>
                </c:pt>
                <c:pt idx="5">
                  <c:v>3997.6738446879467</c:v>
                </c:pt>
                <c:pt idx="6">
                  <c:v>3536.2610426540286</c:v>
                </c:pt>
                <c:pt idx="7">
                  <c:v>4049.746749628529</c:v>
                </c:pt>
                <c:pt idx="8">
                  <c:v>3768.7560505085935</c:v>
                </c:pt>
                <c:pt idx="9">
                  <c:v>3459.2820746887969</c:v>
                </c:pt>
                <c:pt idx="10">
                  <c:v>3523</c:v>
                </c:pt>
              </c:numCache>
            </c:numRef>
          </c:val>
          <c:smooth val="0"/>
          <c:extLst>
            <c:ext xmlns:c16="http://schemas.microsoft.com/office/drawing/2014/chart" uri="{C3380CC4-5D6E-409C-BE32-E72D297353CC}">
              <c16:uniqueId val="{00000002-DDD8-4F44-9EDE-D2DD447B9D52}"/>
            </c:ext>
          </c:extLst>
        </c:ser>
        <c:ser>
          <c:idx val="3"/>
          <c:order val="3"/>
          <c:tx>
            <c:strRef>
              <c:f>'Graphique 3'!$A$8</c:f>
              <c:strCache>
                <c:ptCount val="1"/>
                <c:pt idx="0">
                  <c:v>Radio</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3'!$B$4:$L$4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'Graphique 3'!$B$8:$L$8</c:f>
              <c:numCache>
                <c:formatCode>#,##0</c:formatCode>
                <c:ptCount val="11"/>
                <c:pt idx="0">
                  <c:v>895.89170253227917</c:v>
                </c:pt>
                <c:pt idx="1">
                  <c:v>887.68799999999999</c:v>
                </c:pt>
                <c:pt idx="2">
                  <c:v>875.11195294586787</c:v>
                </c:pt>
                <c:pt idx="3">
                  <c:v>852.95732728885389</c:v>
                </c:pt>
                <c:pt idx="4">
                  <c:v>835.4206563706565</c:v>
                </c:pt>
                <c:pt idx="5">
                  <c:v>838.77141495950457</c:v>
                </c:pt>
                <c:pt idx="6">
                  <c:v>728.05374407582951</c:v>
                </c:pt>
                <c:pt idx="7">
                  <c:v>785.44706537890045</c:v>
                </c:pt>
                <c:pt idx="8">
                  <c:v>756.77832339529994</c:v>
                </c:pt>
                <c:pt idx="9">
                  <c:v>738.71684647302914</c:v>
                </c:pt>
                <c:pt idx="10">
                  <c:v>728</c:v>
                </c:pt>
              </c:numCache>
            </c:numRef>
          </c:val>
          <c:smooth val="0"/>
          <c:extLst>
            <c:ext xmlns:c16="http://schemas.microsoft.com/office/drawing/2014/chart" uri="{C3380CC4-5D6E-409C-BE32-E72D297353CC}">
              <c16:uniqueId val="{00000003-DDD8-4F44-9EDE-D2DD447B9D52}"/>
            </c:ext>
          </c:extLst>
        </c:ser>
        <c:ser>
          <c:idx val="4"/>
          <c:order val="4"/>
          <c:tx>
            <c:strRef>
              <c:f>'Graphique 3'!$A$9</c:f>
              <c:strCache>
                <c:ptCount val="1"/>
                <c:pt idx="0">
                  <c:v>Internet</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3'!$B$4:$L$4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'Graphique 3'!$B$9:$L$9</c:f>
              <c:numCache>
                <c:formatCode>#,##0</c:formatCode>
                <c:ptCount val="11"/>
                <c:pt idx="0">
                  <c:v>3859.9851866680019</c:v>
                </c:pt>
                <c:pt idx="1">
                  <c:v>4068.57</c:v>
                </c:pt>
                <c:pt idx="2">
                  <c:v>4605.3995613597854</c:v>
                </c:pt>
                <c:pt idx="3">
                  <c:v>5176.0658322656946</c:v>
                </c:pt>
                <c:pt idx="4">
                  <c:v>6220.432722007723</c:v>
                </c:pt>
                <c:pt idx="5">
                  <c:v>7029.7032872796572</c:v>
                </c:pt>
                <c:pt idx="6">
                  <c:v>7180.0356398104277</c:v>
                </c:pt>
                <c:pt idx="7">
                  <c:v>8818.5325037147104</c:v>
                </c:pt>
                <c:pt idx="8">
                  <c:v>9194.856629252894</c:v>
                </c:pt>
                <c:pt idx="9">
                  <c:v>9819.2043983402491</c:v>
                </c:pt>
                <c:pt idx="10">
                  <c:v>10973</c:v>
                </c:pt>
              </c:numCache>
            </c:numRef>
          </c:val>
          <c:smooth val="0"/>
          <c:extLst>
            <c:ext xmlns:c16="http://schemas.microsoft.com/office/drawing/2014/chart" uri="{C3380CC4-5D6E-409C-BE32-E72D297353CC}">
              <c16:uniqueId val="{00000004-DDD8-4F44-9EDE-D2DD447B9D52}"/>
            </c:ext>
          </c:extLst>
        </c:ser>
        <c:ser>
          <c:idx val="5"/>
          <c:order val="5"/>
          <c:tx>
            <c:strRef>
              <c:f>'Graphique 3'!$A$10</c:f>
              <c:strCache>
                <c:ptCount val="1"/>
                <c:pt idx="0">
                  <c:v>Cinéma</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'Graphique 3'!$B$4:$L$4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'Graphique 3'!$B$10:$L$10</c:f>
              <c:numCache>
                <c:formatCode>#,##0</c:formatCode>
                <c:ptCount val="11"/>
                <c:pt idx="0">
                  <c:v>99.954859373436108</c:v>
                </c:pt>
                <c:pt idx="1">
                  <c:v>101.09780000000001</c:v>
                </c:pt>
                <c:pt idx="2">
                  <c:v>110.61808393978667</c:v>
                </c:pt>
                <c:pt idx="3">
                  <c:v>115.42869813738051</c:v>
                </c:pt>
                <c:pt idx="4">
                  <c:v>109.4853281853282</c:v>
                </c:pt>
                <c:pt idx="5">
                  <c:v>117.47498808956647</c:v>
                </c:pt>
                <c:pt idx="6">
                  <c:v>29.215639810426545</c:v>
                </c:pt>
                <c:pt idx="7">
                  <c:v>48.088595839524515</c:v>
                </c:pt>
                <c:pt idx="8">
                  <c:v>68.110049105576991</c:v>
                </c:pt>
                <c:pt idx="9">
                  <c:v>83.898589211618258</c:v>
                </c:pt>
                <c:pt idx="10">
                  <c:v>78</c:v>
                </c:pt>
              </c:numCache>
            </c:numRef>
          </c:val>
          <c:smooth val="0"/>
          <c:extLst>
            <c:ext xmlns:c16="http://schemas.microsoft.com/office/drawing/2014/chart" uri="{C3380CC4-5D6E-409C-BE32-E72D297353CC}">
              <c16:uniqueId val="{00000005-DDD8-4F44-9EDE-D2DD447B9D52}"/>
            </c:ext>
          </c:extLst>
        </c:ser>
        <c:dLbls>
          <c:dLblPos val="t"/>
          <c:showLegendKey val="0"/>
          <c:showVal val="1"/>
          <c:showCatName val="0"/>
          <c:showSerName val="0"/>
          <c:showPercent val="0"/>
          <c:showBubbleSize val="0"/>
        </c:dLbls>
        <c:smooth val="0"/>
        <c:axId val="472264208"/>
        <c:axId val="2116969152"/>
      </c:lineChart>
      <c:catAx>
        <c:axId val="47226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16969152"/>
        <c:crosses val="autoZero"/>
        <c:auto val="1"/>
        <c:lblAlgn val="ctr"/>
        <c:lblOffset val="100"/>
        <c:noMultiLvlLbl val="0"/>
      </c:catAx>
      <c:valAx>
        <c:axId val="2116969152"/>
        <c:scaling>
          <c:orientation val="minMax"/>
          <c:max val="17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2264208"/>
        <c:crosses val="autoZero"/>
        <c:crossBetween val="between"/>
        <c:majorUnit val="1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10</xdr:col>
      <xdr:colOff>0</xdr:colOff>
      <xdr:row>39</xdr:row>
      <xdr:rowOff>3810</xdr:rowOff>
    </xdr:from>
    <xdr:to>
      <xdr:col>13</xdr:col>
      <xdr:colOff>472440</xdr:colOff>
      <xdr:row>59</xdr:row>
      <xdr:rowOff>152400</xdr:rowOff>
    </xdr:to>
    <xdr:graphicFrame macro="">
      <xdr:nvGraphicFramePr>
        <xdr:cNvPr id="2" name="Graphique 1">
          <a:extLst>
            <a:ext uri="{FF2B5EF4-FFF2-40B4-BE49-F238E27FC236}">
              <a16:creationId xmlns:a16="http://schemas.microsoft.com/office/drawing/2014/main" id="{A784F749-4E42-3AED-7E9F-D50CA02D63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101600</xdr:colOff>
      <xdr:row>2</xdr:row>
      <xdr:rowOff>122766</xdr:rowOff>
    </xdr:from>
    <xdr:to>
      <xdr:col>10</xdr:col>
      <xdr:colOff>0</xdr:colOff>
      <xdr:row>33</xdr:row>
      <xdr:rowOff>78210</xdr:rowOff>
    </xdr:to>
    <xdr:graphicFrame macro="">
      <xdr:nvGraphicFramePr>
        <xdr:cNvPr id="2" name="Graphique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0.90235</cdr:x>
      <cdr:y>0.11338</cdr:y>
    </cdr:from>
    <cdr:to>
      <cdr:x>0.9734</cdr:x>
      <cdr:y>0.17475</cdr:y>
    </cdr:to>
    <cdr:sp macro="" textlink="">
      <cdr:nvSpPr>
        <cdr:cNvPr id="2" name="ZoneTexte 1"/>
        <cdr:cNvSpPr txBox="1"/>
      </cdr:nvSpPr>
      <cdr:spPr>
        <a:xfrm xmlns:a="http://schemas.openxmlformats.org/drawingml/2006/main">
          <a:off x="6733221" y="479311"/>
          <a:ext cx="530165" cy="259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rtl="0">
            <a:defRPr sz="1000"/>
          </a:pPr>
          <a:r>
            <a:rPr lang="fr-FR" sz="900" b="0" i="0" u="none" strike="noStrike" baseline="0">
              <a:solidFill>
                <a:sysClr val="windowText" lastClr="000000"/>
              </a:solidFill>
              <a:latin typeface="Calibri"/>
            </a:rPr>
            <a:t>10733</a:t>
          </a:r>
        </a:p>
        <a:p xmlns:a="http://schemas.openxmlformats.org/drawingml/2006/main">
          <a:pPr algn="l" rtl="0">
            <a:defRPr sz="1000"/>
          </a:pPr>
          <a:endParaRPr lang="fr-FR" sz="900" b="0" i="0" u="none" strike="noStrike" baseline="0">
            <a:solidFill>
              <a:sysClr val="windowText" lastClr="000000"/>
            </a:solidFill>
            <a:latin typeface="Calibri"/>
          </a:endParaRPr>
        </a:p>
        <a:p xmlns:a="http://schemas.openxmlformats.org/drawingml/2006/main">
          <a:pPr algn="l" rtl="0">
            <a:defRPr sz="1000"/>
          </a:pPr>
          <a:endParaRPr lang="fr-FR" sz="900" b="0" i="0" u="none" strike="noStrike" baseline="0">
            <a:solidFill>
              <a:sysClr val="windowText" lastClr="000000"/>
            </a:solidFill>
            <a:latin typeface="Calibri"/>
          </a:endParaRPr>
        </a:p>
        <a:p xmlns:a="http://schemas.openxmlformats.org/drawingml/2006/main">
          <a:pPr algn="l" rtl="0">
            <a:defRPr sz="1000"/>
          </a:pPr>
          <a:endParaRPr lang="fr-FR" sz="900" b="0" i="0" u="none" strike="noStrike" baseline="0">
            <a:solidFill>
              <a:sysClr val="windowText" lastClr="000000"/>
            </a:solidFill>
            <a:latin typeface="Calibri"/>
          </a:endParaRPr>
        </a:p>
        <a:p xmlns:a="http://schemas.openxmlformats.org/drawingml/2006/main">
          <a:pPr algn="l" rtl="0">
            <a:defRPr sz="1000"/>
          </a:pPr>
          <a:endParaRPr lang="fr-FR" sz="1100" b="0" i="0" u="none" strike="noStrike" baseline="0">
            <a:solidFill>
              <a:sysClr val="windowText" lastClr="000000"/>
            </a:solidFill>
            <a:latin typeface="Calibri"/>
          </a:endParaRPr>
        </a:p>
        <a:p xmlns:a="http://schemas.openxmlformats.org/drawingml/2006/main">
          <a:pPr algn="l" rtl="0">
            <a:defRPr sz="1000"/>
          </a:pPr>
          <a:endParaRPr lang="fr-FR" sz="1100" b="0" i="0" u="none" strike="noStrike" baseline="0">
            <a:solidFill>
              <a:srgbClr val="FF0000"/>
            </a:solidFill>
            <a:latin typeface="Calibri"/>
          </a:endParaRPr>
        </a:p>
      </cdr:txBody>
    </cdr:sp>
  </cdr:relSizeAnchor>
  <cdr:relSizeAnchor xmlns:cdr="http://schemas.openxmlformats.org/drawingml/2006/chartDrawing">
    <cdr:from>
      <cdr:x>0.73887</cdr:x>
      <cdr:y>0.31436</cdr:y>
    </cdr:from>
    <cdr:to>
      <cdr:x>0.83492</cdr:x>
      <cdr:y>0.3855</cdr:y>
    </cdr:to>
    <cdr:sp macro="" textlink="">
      <cdr:nvSpPr>
        <cdr:cNvPr id="3" name="ZoneTexte 2"/>
        <cdr:cNvSpPr txBox="1"/>
      </cdr:nvSpPr>
      <cdr:spPr>
        <a:xfrm xmlns:a="http://schemas.openxmlformats.org/drawingml/2006/main">
          <a:off x="5513370" y="1328925"/>
          <a:ext cx="716712" cy="3007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rtl="0">
            <a:defRPr sz="1000"/>
          </a:pPr>
          <a:r>
            <a:rPr lang="fr-FR" sz="900" b="0" i="0" u="none" strike="noStrike" baseline="0">
              <a:solidFill>
                <a:sysClr val="windowText" lastClr="000000"/>
              </a:solidFill>
              <a:latin typeface="Calibri"/>
            </a:rPr>
            <a:t>8719</a:t>
          </a:r>
        </a:p>
        <a:p xmlns:a="http://schemas.openxmlformats.org/drawingml/2006/main">
          <a:pPr algn="l" rtl="0">
            <a:defRPr sz="1000"/>
          </a:pPr>
          <a:endParaRPr lang="fr-FR" sz="900" b="0" i="0" u="none" strike="noStrike" baseline="0">
            <a:solidFill>
              <a:sysClr val="windowText" lastClr="000000"/>
            </a:solidFill>
            <a:latin typeface="Calibri"/>
          </a:endParaRPr>
        </a:p>
        <a:p xmlns:a="http://schemas.openxmlformats.org/drawingml/2006/main">
          <a:pPr algn="l" rtl="0">
            <a:defRPr sz="1000"/>
          </a:pPr>
          <a:endParaRPr lang="fr-FR" sz="900" b="0" i="0" u="none" strike="noStrike" baseline="0">
            <a:solidFill>
              <a:sysClr val="windowText" lastClr="000000"/>
            </a:solidFill>
            <a:latin typeface="Calibri"/>
          </a:endParaRPr>
        </a:p>
        <a:p xmlns:a="http://schemas.openxmlformats.org/drawingml/2006/main">
          <a:pPr algn="l" rtl="0">
            <a:defRPr sz="1000"/>
          </a:pPr>
          <a:endParaRPr lang="fr-FR" sz="1100" b="0" i="0" u="none" strike="noStrike" baseline="0">
            <a:solidFill>
              <a:sysClr val="windowText" lastClr="000000"/>
            </a:solidFill>
            <a:latin typeface="Calibri"/>
          </a:endParaRPr>
        </a:p>
      </cdr:txBody>
    </cdr:sp>
  </cdr:relSizeAnchor>
  <cdr:relSizeAnchor xmlns:cdr="http://schemas.openxmlformats.org/drawingml/2006/chartDrawing">
    <cdr:from>
      <cdr:x>0.22281</cdr:x>
      <cdr:y>0.51061</cdr:y>
    </cdr:from>
    <cdr:to>
      <cdr:x>0.28626</cdr:x>
      <cdr:y>0.57957</cdr:y>
    </cdr:to>
    <cdr:sp macro="" textlink="">
      <cdr:nvSpPr>
        <cdr:cNvPr id="4" name="ZoneTexte 3"/>
        <cdr:cNvSpPr txBox="1"/>
      </cdr:nvSpPr>
      <cdr:spPr>
        <a:xfrm xmlns:a="http://schemas.openxmlformats.org/drawingml/2006/main">
          <a:off x="1716277" y="2014000"/>
          <a:ext cx="488762" cy="272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rtl="0">
            <a:defRPr sz="1000"/>
          </a:pPr>
          <a:r>
            <a:rPr lang="fr-FR" sz="900" b="0" i="0" u="none" strike="noStrike" baseline="0">
              <a:solidFill>
                <a:sysClr val="windowText" lastClr="000000"/>
              </a:solidFill>
              <a:latin typeface="Calibri"/>
            </a:rPr>
            <a:t>1234</a:t>
          </a:r>
        </a:p>
      </cdr:txBody>
    </cdr:sp>
  </cdr:relSizeAnchor>
  <cdr:relSizeAnchor xmlns:cdr="http://schemas.openxmlformats.org/drawingml/2006/chartDrawing">
    <cdr:from>
      <cdr:x>0.18844</cdr:x>
      <cdr:y>0.71395</cdr:y>
    </cdr:from>
    <cdr:to>
      <cdr:x>0.26476</cdr:x>
      <cdr:y>0.78486</cdr:y>
    </cdr:to>
    <cdr:sp macro="" textlink="">
      <cdr:nvSpPr>
        <cdr:cNvPr id="5" name="ZoneTexte 4"/>
        <cdr:cNvSpPr txBox="1"/>
      </cdr:nvSpPr>
      <cdr:spPr>
        <a:xfrm xmlns:a="http://schemas.openxmlformats.org/drawingml/2006/main">
          <a:off x="1406110" y="3018136"/>
          <a:ext cx="569489" cy="2997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rtl="0">
            <a:defRPr sz="1000"/>
          </a:pPr>
          <a:r>
            <a:rPr lang="fr-FR" sz="900" b="0" i="0" u="none" strike="noStrike" baseline="0">
              <a:solidFill>
                <a:sysClr val="windowText" lastClr="000000"/>
              </a:solidFill>
              <a:latin typeface="Calibri"/>
            </a:rPr>
            <a:t>781</a:t>
          </a:r>
        </a:p>
        <a:p xmlns:a="http://schemas.openxmlformats.org/drawingml/2006/main">
          <a:pPr algn="l" rtl="0">
            <a:defRPr sz="1000"/>
          </a:pPr>
          <a:endParaRPr lang="fr-FR" sz="900" b="0" i="0" u="none" strike="noStrike" baseline="0">
            <a:solidFill>
              <a:sysClr val="windowText" lastClr="000000"/>
            </a:solidFill>
            <a:latin typeface="Calibri"/>
          </a:endParaRPr>
        </a:p>
        <a:p xmlns:a="http://schemas.openxmlformats.org/drawingml/2006/main">
          <a:pPr algn="l" rtl="0">
            <a:defRPr sz="1000"/>
          </a:pPr>
          <a:endParaRPr lang="fr-FR" sz="1100" b="0" i="0" u="none" strike="noStrike" baseline="0">
            <a:solidFill>
              <a:sysClr val="windowText" lastClr="000000"/>
            </a:solidFill>
            <a:latin typeface="Calibri"/>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11</xdr:col>
      <xdr:colOff>0</xdr:colOff>
      <xdr:row>35</xdr:row>
      <xdr:rowOff>50483</xdr:rowOff>
    </xdr:to>
    <xdr:graphicFrame macro="">
      <xdr:nvGraphicFramePr>
        <xdr:cNvPr id="2" name="Graphique 2">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57978</xdr:colOff>
      <xdr:row>18</xdr:row>
      <xdr:rowOff>77857</xdr:rowOff>
    </xdr:from>
    <xdr:to>
      <xdr:col>11</xdr:col>
      <xdr:colOff>24848</xdr:colOff>
      <xdr:row>47</xdr:row>
      <xdr:rowOff>66261</xdr:rowOff>
    </xdr:to>
    <xdr:graphicFrame macro="">
      <xdr:nvGraphicFramePr>
        <xdr:cNvPr id="2" name="Graphique 1">
          <a:extLst>
            <a:ext uri="{FF2B5EF4-FFF2-40B4-BE49-F238E27FC236}">
              <a16:creationId xmlns:a16="http://schemas.microsoft.com/office/drawing/2014/main" id="{A2171000-522D-4EEB-9206-1FDA08306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ELVAINQUIERE Jean-cédric" refreshedDate="45968.680446412036" createdVersion="8" refreshedVersion="8" minRefreshableVersion="3" recordCount="52" xr:uid="{8D0CFBDB-7580-4FAC-B869-DD0B730B7612}">
  <cacheSource type="worksheet">
    <worksheetSource ref="H8:I60" sheet="Feuil2"/>
  </cacheSource>
  <cacheFields count="2">
    <cacheField name="Type d'établissement" numFmtId="0">
      <sharedItems count="13">
        <s v="Ecole"/>
        <s v="Bibliothèque"/>
        <s v="Autre opérateur"/>
        <s v="Musée"/>
        <s v="Opéra"/>
        <s v="Monument"/>
        <s v="Château-Musée"/>
        <s v="Autre"/>
        <s v="Auditorium - Orchestre - Musée"/>
        <s v="Théâtre"/>
        <s v="Cinéma"/>
        <s v="Musée - Aquarium"/>
        <s v="Orchestre"/>
      </sharedItems>
    </cacheField>
    <cacheField name="ETPT" numFmtId="3">
      <sharedItems containsSemiMixedTypes="0" containsString="0" containsNumber="1" containsInteger="1" minValue="19" maxValue="271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
  <r>
    <x v="0"/>
    <n v="2715"/>
  </r>
  <r>
    <x v="1"/>
    <n v="2215"/>
  </r>
  <r>
    <x v="2"/>
    <n v="2050"/>
  </r>
  <r>
    <x v="3"/>
    <n v="2017"/>
  </r>
  <r>
    <x v="4"/>
    <n v="1546"/>
  </r>
  <r>
    <x v="5"/>
    <n v="1529"/>
  </r>
  <r>
    <x v="6"/>
    <n v="1032"/>
  </r>
  <r>
    <x v="7"/>
    <n v="1021"/>
  </r>
  <r>
    <x v="7"/>
    <n v="1015"/>
  </r>
  <r>
    <x v="3"/>
    <n v="1007"/>
  </r>
  <r>
    <x v="3"/>
    <n v="701"/>
  </r>
  <r>
    <x v="7"/>
    <n v="591"/>
  </r>
  <r>
    <x v="8"/>
    <n v="498"/>
  </r>
  <r>
    <x v="2"/>
    <n v="450"/>
  </r>
  <r>
    <x v="0"/>
    <n v="442"/>
  </r>
  <r>
    <x v="9"/>
    <n v="399"/>
  </r>
  <r>
    <x v="0"/>
    <n v="369"/>
  </r>
  <r>
    <x v="1"/>
    <n v="267"/>
  </r>
  <r>
    <x v="3"/>
    <n v="263"/>
  </r>
  <r>
    <x v="3"/>
    <n v="247"/>
  </r>
  <r>
    <x v="0"/>
    <n v="217"/>
  </r>
  <r>
    <x v="7"/>
    <n v="215"/>
  </r>
  <r>
    <x v="10"/>
    <n v="213"/>
  </r>
  <r>
    <x v="0"/>
    <n v="209"/>
  </r>
  <r>
    <x v="0"/>
    <n v="206"/>
  </r>
  <r>
    <x v="3"/>
    <n v="166"/>
  </r>
  <r>
    <x v="6"/>
    <n v="156"/>
  </r>
  <r>
    <x v="3"/>
    <n v="142"/>
  </r>
  <r>
    <x v="3"/>
    <n v="142"/>
  </r>
  <r>
    <x v="3"/>
    <n v="142"/>
  </r>
  <r>
    <x v="9"/>
    <n v="137"/>
  </r>
  <r>
    <x v="2"/>
    <n v="132"/>
  </r>
  <r>
    <x v="9"/>
    <n v="131"/>
  </r>
  <r>
    <x v="2"/>
    <n v="131"/>
  </r>
  <r>
    <x v="11"/>
    <n v="104"/>
  </r>
  <r>
    <x v="9"/>
    <n v="99"/>
  </r>
  <r>
    <x v="2"/>
    <n v="99"/>
  </r>
  <r>
    <x v="9"/>
    <n v="95"/>
  </r>
  <r>
    <x v="0"/>
    <n v="95"/>
  </r>
  <r>
    <x v="4"/>
    <n v="94"/>
  </r>
  <r>
    <x v="2"/>
    <n v="78"/>
  </r>
  <r>
    <x v="0"/>
    <n v="77"/>
  </r>
  <r>
    <x v="0"/>
    <n v="69"/>
  </r>
  <r>
    <x v="2"/>
    <n v="68"/>
  </r>
  <r>
    <x v="0"/>
    <n v="68"/>
  </r>
  <r>
    <x v="0"/>
    <n v="59"/>
  </r>
  <r>
    <x v="7"/>
    <n v="47"/>
  </r>
  <r>
    <x v="12"/>
    <n v="46"/>
  </r>
  <r>
    <x v="3"/>
    <n v="40"/>
  </r>
  <r>
    <x v="0"/>
    <n v="37"/>
  </r>
  <r>
    <x v="5"/>
    <n v="36"/>
  </r>
  <r>
    <x v="5"/>
    <n v="1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EB82682-8E2A-4173-870B-3D8CF1491BB0}" name="Tableau croisé dynamique3" cacheId="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K8:M22" firstHeaderRow="0" firstDataRow="1" firstDataCol="1"/>
  <pivotFields count="2">
    <pivotField axis="axisRow" dataField="1" showAll="0">
      <items count="14">
        <item x="8"/>
        <item x="7"/>
        <item x="2"/>
        <item x="1"/>
        <item x="6"/>
        <item x="10"/>
        <item x="0"/>
        <item x="5"/>
        <item x="3"/>
        <item x="11"/>
        <item x="4"/>
        <item x="12"/>
        <item x="9"/>
        <item t="default"/>
      </items>
    </pivotField>
    <pivotField dataField="1" numFmtId="3" showAll="0"/>
  </pivotFields>
  <rowFields count="1">
    <field x="0"/>
  </rowFields>
  <rowItems count="14">
    <i>
      <x/>
    </i>
    <i>
      <x v="1"/>
    </i>
    <i>
      <x v="2"/>
    </i>
    <i>
      <x v="3"/>
    </i>
    <i>
      <x v="4"/>
    </i>
    <i>
      <x v="5"/>
    </i>
    <i>
      <x v="6"/>
    </i>
    <i>
      <x v="7"/>
    </i>
    <i>
      <x v="8"/>
    </i>
    <i>
      <x v="9"/>
    </i>
    <i>
      <x v="10"/>
    </i>
    <i>
      <x v="11"/>
    </i>
    <i>
      <x v="12"/>
    </i>
    <i t="grand">
      <x/>
    </i>
  </rowItems>
  <colFields count="1">
    <field x="-2"/>
  </colFields>
  <colItems count="2">
    <i>
      <x/>
    </i>
    <i i="1">
      <x v="1"/>
    </i>
  </colItems>
  <dataFields count="2">
    <dataField name="Nombre de Type d'établissement" fld="0" subtotal="count" baseField="0" baseItem="0"/>
    <dataField name="Somme de ETPT" fld="1"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10" Type="http://schemas.openxmlformats.org/officeDocument/2006/relationships/comments" Target="../comments3.xml"/><Relationship Id="rId4" Type="http://schemas.openxmlformats.org/officeDocument/2006/relationships/printerSettings" Target="../printerSettings/printerSettings40.bin"/><Relationship Id="rId9"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6.bin"/><Relationship Id="rId7" Type="http://schemas.openxmlformats.org/officeDocument/2006/relationships/printerSettings" Target="../printerSettings/printerSettings50.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6" Type="http://schemas.openxmlformats.org/officeDocument/2006/relationships/printerSettings" Target="../printerSettings/printerSettings49.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12.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 Id="rId9"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printerSettings" Target="../printerSettings/printerSettings60.bin"/><Relationship Id="rId7" Type="http://schemas.openxmlformats.org/officeDocument/2006/relationships/printerSettings" Target="../printerSettings/printerSettings64.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printerSettings" Target="../printerSettings/printerSettings63.bin"/><Relationship Id="rId5" Type="http://schemas.openxmlformats.org/officeDocument/2006/relationships/printerSettings" Target="../printerSettings/printerSettings62.bin"/><Relationship Id="rId4" Type="http://schemas.openxmlformats.org/officeDocument/2006/relationships/printerSettings" Target="../printerSettings/printerSettings61.bin"/><Relationship Id="rId9"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printerSettings" Target="../printerSettings/printerSettings11.bin"/><Relationship Id="rId7" Type="http://schemas.openxmlformats.org/officeDocument/2006/relationships/hyperlink" Target="https://culture.newstank.fr/" TargetMode="Externa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10" Type="http://schemas.openxmlformats.org/officeDocument/2006/relationships/comments" Target="../comments1.xml"/><Relationship Id="rId4" Type="http://schemas.openxmlformats.org/officeDocument/2006/relationships/printerSettings" Target="../printerSettings/printerSettings12.bin"/><Relationship Id="rId9"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6" Type="http://schemas.openxmlformats.org/officeDocument/2006/relationships/hyperlink" Target="http://www.guimet.fr/" TargetMode="External"/><Relationship Id="rId21" Type="http://schemas.openxmlformats.org/officeDocument/2006/relationships/hyperlink" Target="http://www.sevresciteceramique.fr/" TargetMode="External"/><Relationship Id="rId42" Type="http://schemas.openxmlformats.org/officeDocument/2006/relationships/hyperlink" Target="http://www.versailles.archi.fr/" TargetMode="External"/><Relationship Id="rId47" Type="http://schemas.openxmlformats.org/officeDocument/2006/relationships/hyperlink" Target="http://www.montpellier.archi.fr/" TargetMode="External"/><Relationship Id="rId63" Type="http://schemas.openxmlformats.org/officeDocument/2006/relationships/hyperlink" Target="http://www.cnv.fr/" TargetMode="External"/><Relationship Id="rId68" Type="http://schemas.openxmlformats.org/officeDocument/2006/relationships/hyperlink" Target="http://www.chambord.org/" TargetMode="External"/><Relationship Id="rId16" Type="http://schemas.openxmlformats.org/officeDocument/2006/relationships/hyperlink" Target="https://www.ensp-arles.fr/" TargetMode="External"/><Relationship Id="rId11" Type="http://schemas.openxmlformats.org/officeDocument/2006/relationships/hyperlink" Target="http://www.cnsad.fr/" TargetMode="External"/><Relationship Id="rId32" Type="http://schemas.openxmlformats.org/officeDocument/2006/relationships/hyperlink" Target="http://www.inp.fr/" TargetMode="External"/><Relationship Id="rId37" Type="http://schemas.openxmlformats.org/officeDocument/2006/relationships/hyperlink" Target="http://www.marnelavallee.archi.fr/" TargetMode="External"/><Relationship Id="rId53" Type="http://schemas.openxmlformats.org/officeDocument/2006/relationships/hyperlink" Target="http://www.rouen.archi.fr/" TargetMode="External"/><Relationship Id="rId58" Type="http://schemas.openxmlformats.org/officeDocument/2006/relationships/hyperlink" Target="http://www.ensa-dijon.fr/" TargetMode="External"/><Relationship Id="rId74" Type="http://schemas.openxmlformats.org/officeDocument/2006/relationships/hyperlink" Target="http://www.palais-decouverte.fr/" TargetMode="External"/><Relationship Id="rId79" Type="http://schemas.openxmlformats.org/officeDocument/2006/relationships/hyperlink" Target="http://www.colline.fr/" TargetMode="External"/><Relationship Id="rId5" Type="http://schemas.openxmlformats.org/officeDocument/2006/relationships/hyperlink" Target="http://www.centrepompidou.fr/" TargetMode="External"/><Relationship Id="rId61" Type="http://schemas.openxmlformats.org/officeDocument/2006/relationships/hyperlink" Target="http://www.villa-arson.fr/" TargetMode="External"/><Relationship Id="rId82" Type="http://schemas.openxmlformats.org/officeDocument/2006/relationships/printerSettings" Target="../printerSettings/printerSettings28.bin"/><Relationship Id="rId19" Type="http://schemas.openxmlformats.org/officeDocument/2006/relationships/hyperlink" Target="https://www.rebatirnotredamedeparis.fr/" TargetMode="External"/><Relationship Id="rId14" Type="http://schemas.openxmlformats.org/officeDocument/2006/relationships/hyperlink" Target="http://www.ecoledulouvre.fr/" TargetMode="External"/><Relationship Id="rId22" Type="http://schemas.openxmlformats.org/officeDocument/2006/relationships/hyperlink" Target="http://www.musee-adriendubouche.fr/" TargetMode="External"/><Relationship Id="rId27" Type="http://schemas.openxmlformats.org/officeDocument/2006/relationships/hyperlink" Target="http://www.mucem.org/" TargetMode="External"/><Relationship Id="rId30" Type="http://schemas.openxmlformats.org/officeDocument/2006/relationships/hyperlink" Target="http://www.quaibranly.fr/" TargetMode="External"/><Relationship Id="rId35" Type="http://schemas.openxmlformats.org/officeDocument/2006/relationships/hyperlink" Target="http://www.musee-rodin.fr/" TargetMode="External"/><Relationship Id="rId43" Type="http://schemas.openxmlformats.org/officeDocument/2006/relationships/hyperlink" Target="http://www.bordeaux.archi.fr/" TargetMode="External"/><Relationship Id="rId48" Type="http://schemas.openxmlformats.org/officeDocument/2006/relationships/hyperlink" Target="http://www.lille.archi.fr/" TargetMode="External"/><Relationship Id="rId56" Type="http://schemas.openxmlformats.org/officeDocument/2006/relationships/hyperlink" Target="http://www.toulouse.archi.fr/" TargetMode="External"/><Relationship Id="rId64" Type="http://schemas.openxmlformats.org/officeDocument/2006/relationships/hyperlink" Target="http://www.cnd.fr/" TargetMode="External"/><Relationship Id="rId69" Type="http://schemas.openxmlformats.org/officeDocument/2006/relationships/hyperlink" Target="http://www.ensci.com/" TargetMode="External"/><Relationship Id="rId77" Type="http://schemas.openxmlformats.org/officeDocument/2006/relationships/hyperlink" Target="http://www.rmngp.fr/" TargetMode="External"/><Relationship Id="rId8" Type="http://schemas.openxmlformats.org/officeDocument/2006/relationships/hyperlink" Target="http://www.centrenationaldulivre.fr/" TargetMode="External"/><Relationship Id="rId51" Type="http://schemas.openxmlformats.org/officeDocument/2006/relationships/hyperlink" Target="http://www.nancy.archi.fr/" TargetMode="External"/><Relationship Id="rId72" Type="http://schemas.openxmlformats.org/officeDocument/2006/relationships/hyperlink" Target="http://www.institut-national-audiovisuel.fr/" TargetMode="External"/><Relationship Id="rId80" Type="http://schemas.openxmlformats.org/officeDocument/2006/relationships/hyperlink" Target="http://www.theatre-odeon.fr/" TargetMode="External"/><Relationship Id="rId3" Type="http://schemas.openxmlformats.org/officeDocument/2006/relationships/hyperlink" Target="http://www.bpi.fr/" TargetMode="External"/><Relationship Id="rId12" Type="http://schemas.openxmlformats.org/officeDocument/2006/relationships/hyperlink" Target="http://www.cnsmdp.fr/" TargetMode="External"/><Relationship Id="rId17" Type="http://schemas.openxmlformats.org/officeDocument/2006/relationships/hyperlink" Target="http://www.ensad.fr/" TargetMode="External"/><Relationship Id="rId25" Type="http://schemas.openxmlformats.org/officeDocument/2006/relationships/hyperlink" Target="http://www.musee-orangerie.fr/" TargetMode="External"/><Relationship Id="rId33" Type="http://schemas.openxmlformats.org/officeDocument/2006/relationships/hyperlink" Target="http://www.musee-henner.fr/" TargetMode="External"/><Relationship Id="rId38" Type="http://schemas.openxmlformats.org/officeDocument/2006/relationships/hyperlink" Target="http://www.paris-belleville.archi.fr/" TargetMode="External"/><Relationship Id="rId46" Type="http://schemas.openxmlformats.org/officeDocument/2006/relationships/hyperlink" Target="http://www.grenoble.archi.fr/" TargetMode="External"/><Relationship Id="rId59" Type="http://schemas.openxmlformats.org/officeDocument/2006/relationships/hyperlink" Target="http://ensa-limoges.fr/" TargetMode="External"/><Relationship Id="rId67" Type="http://schemas.openxmlformats.org/officeDocument/2006/relationships/hyperlink" Target="http://www.comedie-francaise.fr/" TargetMode="External"/><Relationship Id="rId20" Type="http://schemas.openxmlformats.org/officeDocument/2006/relationships/hyperlink" Target="http://www.palais-portedoree.fr/" TargetMode="External"/><Relationship Id="rId41" Type="http://schemas.openxmlformats.org/officeDocument/2006/relationships/hyperlink" Target="http://www.paris-lavillette.archi.fr/" TargetMode="External"/><Relationship Id="rId54" Type="http://schemas.openxmlformats.org/officeDocument/2006/relationships/hyperlink" Target="http://www.st-etienne.archi.fr/" TargetMode="External"/><Relationship Id="rId62" Type="http://schemas.openxmlformats.org/officeDocument/2006/relationships/hyperlink" Target="http://www.inha.fr/" TargetMode="External"/><Relationship Id="rId70" Type="http://schemas.openxmlformats.org/officeDocument/2006/relationships/hyperlink" Target="http://www.femis.fr/" TargetMode="External"/><Relationship Id="rId75" Type="http://schemas.openxmlformats.org/officeDocument/2006/relationships/hyperlink" Target="http://www.villette.com/" TargetMode="External"/><Relationship Id="rId1" Type="http://schemas.openxmlformats.org/officeDocument/2006/relationships/hyperlink" Target="http://www.villamedici.it/" TargetMode="External"/><Relationship Id="rId6" Type="http://schemas.openxmlformats.org/officeDocument/2006/relationships/hyperlink" Target="http://www.cnap.fr/" TargetMode="External"/><Relationship Id="rId15" Type="http://schemas.openxmlformats.org/officeDocument/2006/relationships/hyperlink" Target="http://www.ensapc.fr/" TargetMode="External"/><Relationship Id="rId23" Type="http://schemas.openxmlformats.org/officeDocument/2006/relationships/hyperlink" Target="http://www.mobiliernational.culture.gouv.fr/" TargetMode="External"/><Relationship Id="rId28" Type="http://schemas.openxmlformats.org/officeDocument/2006/relationships/hyperlink" Target="http://www.louvre.fr/" TargetMode="External"/><Relationship Id="rId36" Type="http://schemas.openxmlformats.org/officeDocument/2006/relationships/hyperlink" Target="http://www.oppic.fr/" TargetMode="External"/><Relationship Id="rId49" Type="http://schemas.openxmlformats.org/officeDocument/2006/relationships/hyperlink" Target="http://www.lyon.archi.fr/" TargetMode="External"/><Relationship Id="rId57" Type="http://schemas.openxmlformats.org/officeDocument/2006/relationships/hyperlink" Target="http://www.ensa-bourges.fr/" TargetMode="External"/><Relationship Id="rId10" Type="http://schemas.openxmlformats.org/officeDocument/2006/relationships/hyperlink" Target="http://www.chateauversailles.fr/" TargetMode="External"/><Relationship Id="rId31" Type="http://schemas.openxmlformats.org/officeDocument/2006/relationships/hyperlink" Target="http://www.inrap.fr/" TargetMode="External"/><Relationship Id="rId44" Type="http://schemas.openxmlformats.org/officeDocument/2006/relationships/hyperlink" Target="http://www.rennes.archi.fr/" TargetMode="External"/><Relationship Id="rId52" Type="http://schemas.openxmlformats.org/officeDocument/2006/relationships/hyperlink" Target="http://www.nantes.archi.fr/" TargetMode="External"/><Relationship Id="rId60" Type="http://schemas.openxmlformats.org/officeDocument/2006/relationships/hyperlink" Target="http://www.ensa-nancy.fr/" TargetMode="External"/><Relationship Id="rId65" Type="http://schemas.openxmlformats.org/officeDocument/2006/relationships/hyperlink" Target="http://www.citechaillot.fr/" TargetMode="External"/><Relationship Id="rId73" Type="http://schemas.openxmlformats.org/officeDocument/2006/relationships/hyperlink" Target="http://www.operadeparis.fr/" TargetMode="External"/><Relationship Id="rId78" Type="http://schemas.openxmlformats.org/officeDocument/2006/relationships/hyperlink" Target="http://www.theatre-chaillot.fr/" TargetMode="External"/><Relationship Id="rId81" Type="http://schemas.openxmlformats.org/officeDocument/2006/relationships/hyperlink" Target="http://www.tns.fr/" TargetMode="External"/><Relationship Id="rId4" Type="http://schemas.openxmlformats.org/officeDocument/2006/relationships/hyperlink" Target="http://www.monuments-nationaux.fr/" TargetMode="External"/><Relationship Id="rId9" Type="http://schemas.openxmlformats.org/officeDocument/2006/relationships/hyperlink" Target="http://www.musee-chateau-fontainebleau.fr/" TargetMode="External"/><Relationship Id="rId13" Type="http://schemas.openxmlformats.org/officeDocument/2006/relationships/hyperlink" Target="http://www.cnsmd-lyon.fr/" TargetMode="External"/><Relationship Id="rId18" Type="http://schemas.openxmlformats.org/officeDocument/2006/relationships/hyperlink" Target="http://www.ensba.fr/" TargetMode="External"/><Relationship Id="rId39" Type="http://schemas.openxmlformats.org/officeDocument/2006/relationships/hyperlink" Target="http://www.paris-malaquais.archi.fr/" TargetMode="External"/><Relationship Id="rId34" Type="http://schemas.openxmlformats.org/officeDocument/2006/relationships/hyperlink" Target="http://www.musee-moreau.fr/" TargetMode="External"/><Relationship Id="rId50" Type="http://schemas.openxmlformats.org/officeDocument/2006/relationships/hyperlink" Target="http://www.marseille.archi.fr/" TargetMode="External"/><Relationship Id="rId55" Type="http://schemas.openxmlformats.org/officeDocument/2006/relationships/hyperlink" Target="http://www.strasbourg.archi.fr/" TargetMode="External"/><Relationship Id="rId76" Type="http://schemas.openxmlformats.org/officeDocument/2006/relationships/hyperlink" Target="http://www.grandpalais.fr/" TargetMode="External"/><Relationship Id="rId7" Type="http://schemas.openxmlformats.org/officeDocument/2006/relationships/hyperlink" Target="http://www.cnc.fr/" TargetMode="External"/><Relationship Id="rId71" Type="http://schemas.openxmlformats.org/officeDocument/2006/relationships/hyperlink" Target="https://epic-montsaintmichel.fr/" TargetMode="External"/><Relationship Id="rId2" Type="http://schemas.openxmlformats.org/officeDocument/2006/relationships/hyperlink" Target="http://www.bnf.fr/" TargetMode="External"/><Relationship Id="rId29" Type="http://schemas.openxmlformats.org/officeDocument/2006/relationships/hyperlink" Target="http://www.musee-picasso.fr/" TargetMode="External"/><Relationship Id="rId24" Type="http://schemas.openxmlformats.org/officeDocument/2006/relationships/hyperlink" Target="http://www.musee-orsay.fr/" TargetMode="External"/><Relationship Id="rId40" Type="http://schemas.openxmlformats.org/officeDocument/2006/relationships/hyperlink" Target="http://www.paris-valdeseine.archi.fr/" TargetMode="External"/><Relationship Id="rId45" Type="http://schemas.openxmlformats.org/officeDocument/2006/relationships/hyperlink" Target="http://www.clermont-fd.archi.fr/" TargetMode="External"/><Relationship Id="rId66" Type="http://schemas.openxmlformats.org/officeDocument/2006/relationships/hyperlink" Target="http://www.citedelamusique.fr/"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musee-fernandleger.fr/" TargetMode="External"/><Relationship Id="rId13" Type="http://schemas.openxmlformats.org/officeDocument/2006/relationships/hyperlink" Target="http://palaisdecompiegne.fr/" TargetMode="External"/><Relationship Id="rId18" Type="http://schemas.openxmlformats.org/officeDocument/2006/relationships/hyperlink" Target="http://www.c2rmf.fr/" TargetMode="External"/><Relationship Id="rId3" Type="http://schemas.openxmlformats.org/officeDocument/2006/relationships/hyperlink" Target="http://musees-nationaux-malmaison.fr/musees-napoleonien-africain/" TargetMode="External"/><Relationship Id="rId21" Type="http://schemas.openxmlformats.org/officeDocument/2006/relationships/hyperlink" Target="http://www.mediatheque-patrimoine.culture.gouv.fr/" TargetMode="External"/><Relationship Id="rId7" Type="http://schemas.openxmlformats.org/officeDocument/2006/relationships/hyperlink" Target="http://musee-clemenceau-delattre.fr/" TargetMode="External"/><Relationship Id="rId12" Type="http://schemas.openxmlformats.org/officeDocument/2006/relationships/hyperlink" Target="http://www.musee-prehistoire-eyzies.fr/" TargetMode="External"/><Relationship Id="rId17" Type="http://schemas.openxmlformats.org/officeDocument/2006/relationships/hyperlink" Target="http://www.museedesplansreliefs.culture.fr/" TargetMode="External"/><Relationship Id="rId25" Type="http://schemas.openxmlformats.org/officeDocument/2006/relationships/printerSettings" Target="../printerSettings/printerSettings29.bin"/><Relationship Id="rId2" Type="http://schemas.openxmlformats.org/officeDocument/2006/relationships/hyperlink" Target="http://musees-nationaux-malmaison.fr/musee-maisonbonaparte/" TargetMode="External"/><Relationship Id="rId16" Type="http://schemas.openxmlformats.org/officeDocument/2006/relationships/hyperlink" Target="http://www.musee-chateau-pau.fr/" TargetMode="External"/><Relationship Id="rId20" Type="http://schemas.openxmlformats.org/officeDocument/2006/relationships/hyperlink" Target="http://www.lrmh.fr/" TargetMode="External"/><Relationship Id="rId1" Type="http://schemas.openxmlformats.org/officeDocument/2006/relationships/hyperlink" Target="http://www.chateau-malmaison.fr/" TargetMode="External"/><Relationship Id="rId6" Type="http://schemas.openxmlformats.org/officeDocument/2006/relationships/hyperlink" Target="http://www.musee-magnin.fr/" TargetMode="External"/><Relationship Id="rId11" Type="http://schemas.openxmlformats.org/officeDocument/2006/relationships/hyperlink" Target="http://www.port-royal-des-champs.eu/" TargetMode="External"/><Relationship Id="rId24" Type="http://schemas.openxmlformats.org/officeDocument/2006/relationships/hyperlink" Target="http://www.archivesnationales.culture.gouv.fr/anom/fr/" TargetMode="External"/><Relationship Id="rId5" Type="http://schemas.openxmlformats.org/officeDocument/2006/relationships/hyperlink" Target="http://www.musee-moyenage.fr/" TargetMode="External"/><Relationship Id="rId15" Type="http://schemas.openxmlformats.org/officeDocument/2006/relationships/hyperlink" Target="http://musee-archeologienationale.fr/" TargetMode="External"/><Relationship Id="rId23" Type="http://schemas.openxmlformats.org/officeDocument/2006/relationships/hyperlink" Target="http://www.archivesnationales.culture.gouv.fr/camt/" TargetMode="External"/><Relationship Id="rId10" Type="http://schemas.openxmlformats.org/officeDocument/2006/relationships/hyperlink" Target="http://www.musee-picasso-vallauris.fr/" TargetMode="External"/><Relationship Id="rId19" Type="http://schemas.openxmlformats.org/officeDocument/2006/relationships/hyperlink" Target="https://www.culture.gouv.fr/Thematiques/Archeologie/Acteurs-metiers-formations/Le-Departement-des-recherches-subaquatiques-et-sous-marines" TargetMode="External"/><Relationship Id="rId4" Type="http://schemas.openxmlformats.org/officeDocument/2006/relationships/hyperlink" Target="http://www.musee-renaissance.fr/" TargetMode="External"/><Relationship Id="rId9" Type="http://schemas.openxmlformats.org/officeDocument/2006/relationships/hyperlink" Target="http://www.musee-chagall.fr/" TargetMode="External"/><Relationship Id="rId14" Type="http://schemas.openxmlformats.org/officeDocument/2006/relationships/hyperlink" Target="http://www.museefrancoamericain.fr/" TargetMode="External"/><Relationship Id="rId22" Type="http://schemas.openxmlformats.org/officeDocument/2006/relationships/hyperlink" Target="http://www.archives-nationales.culture.gouv.fr/"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32.bin"/><Relationship Id="rId7" Type="http://schemas.openxmlformats.org/officeDocument/2006/relationships/printerSettings" Target="../printerSettings/printerSettings36.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6" Type="http://schemas.openxmlformats.org/officeDocument/2006/relationships/printerSettings" Target="../printerSettings/printerSettings35.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zoomScale="115" zoomScaleNormal="115" workbookViewId="0"/>
  </sheetViews>
  <sheetFormatPr baseColWidth="10" defaultColWidth="11.54296875" defaultRowHeight="10" x14ac:dyDescent="0.2"/>
  <cols>
    <col min="1" max="1" width="21.54296875" style="3" bestFit="1" customWidth="1"/>
    <col min="2" max="2" width="116.453125" style="3" bestFit="1" customWidth="1"/>
    <col min="3" max="16384" width="11.54296875" style="3"/>
  </cols>
  <sheetData>
    <row r="1" spans="1:2" ht="10.5" x14ac:dyDescent="0.25">
      <c r="A1" s="1" t="s">
        <v>0</v>
      </c>
    </row>
    <row r="2" spans="1:2" ht="10.5" x14ac:dyDescent="0.25">
      <c r="A2" s="1"/>
    </row>
    <row r="3" spans="1:2" ht="10.25" x14ac:dyDescent="0.2">
      <c r="A3" s="33"/>
      <c r="B3" s="75" t="s">
        <v>790</v>
      </c>
    </row>
    <row r="4" spans="1:2" ht="10.25" x14ac:dyDescent="0.2">
      <c r="A4" s="33"/>
      <c r="B4" s="281" t="s">
        <v>813</v>
      </c>
    </row>
    <row r="5" spans="1:2" ht="10.5" x14ac:dyDescent="0.25">
      <c r="A5" s="63"/>
      <c r="B5" s="281" t="s">
        <v>787</v>
      </c>
    </row>
    <row r="6" spans="1:2" ht="10.25" x14ac:dyDescent="0.2">
      <c r="A6" s="33"/>
      <c r="B6" s="75" t="s">
        <v>802</v>
      </c>
    </row>
    <row r="7" spans="1:2" ht="10.25" x14ac:dyDescent="0.2">
      <c r="A7" s="33"/>
      <c r="B7" s="75" t="s">
        <v>803</v>
      </c>
    </row>
    <row r="8" spans="1:2" ht="10.25" x14ac:dyDescent="0.2">
      <c r="A8" s="33"/>
      <c r="B8" s="75" t="s">
        <v>804</v>
      </c>
    </row>
    <row r="9" spans="1:2" ht="10.25" x14ac:dyDescent="0.2">
      <c r="A9" s="33"/>
      <c r="B9" s="75" t="s">
        <v>788</v>
      </c>
    </row>
    <row r="10" spans="1:2" ht="10.25" x14ac:dyDescent="0.2">
      <c r="A10" s="33"/>
      <c r="B10" s="75" t="s">
        <v>789</v>
      </c>
    </row>
    <row r="11" spans="1:2" ht="10.25" x14ac:dyDescent="0.2">
      <c r="A11" s="33"/>
      <c r="B11" s="75" t="s">
        <v>821</v>
      </c>
    </row>
    <row r="12" spans="1:2" ht="10.25" x14ac:dyDescent="0.2">
      <c r="A12" s="33"/>
    </row>
  </sheetData>
  <customSheetViews>
    <customSheetView guid="{B5EA72E7-EF27-46AE-B0E4-CAECE2734832}" scale="110">
      <selection activeCell="B12" sqref="B12"/>
      <pageMargins left="0.78749999999999998" right="0.78749999999999998" top="1.0249999999999999" bottom="1.0249999999999999" header="0.78749999999999998" footer="0.78749999999999998"/>
      <pageSetup paperSize="9" firstPageNumber="0" orientation="portrait" r:id="rId1"/>
      <headerFooter>
        <oddHeader>&amp;C&amp;A</oddHeader>
        <oddFooter>&amp;CPage &amp;P</oddFooter>
      </headerFooter>
    </customSheetView>
    <customSheetView guid="{D7C60D54-F168-4802-9C20-D9E241B3AC75}" scale="110">
      <pageMargins left="0.78749999999999998" right="0.78749999999999998" top="1.0249999999999999" bottom="1.0249999999999999" header="0.78749999999999998" footer="0.78749999999999998"/>
      <pageSetup paperSize="9" firstPageNumber="0" orientation="portrait" r:id="rId2"/>
      <headerFooter>
        <oddHeader>&amp;C&amp;A</oddHeader>
        <oddFooter>&amp;CPage &amp;P</oddFooter>
      </headerFooter>
    </customSheetView>
    <customSheetView guid="{D4A8130B-E15E-430B-BC62-FA365B34E0AF}" scale="110">
      <selection activeCell="B20" sqref="B20"/>
      <pageMargins left="0.78749999999999998" right="0.78749999999999998" top="1.0249999999999999" bottom="1.0249999999999999" header="0.78749999999999998" footer="0.78749999999999998"/>
      <pageSetup paperSize="9" firstPageNumber="0" orientation="portrait" r:id="rId3"/>
      <headerFooter>
        <oddHeader>&amp;C&amp;A</oddHeader>
        <oddFooter>&amp;CPage &amp;P</oddFooter>
      </headerFooter>
    </customSheetView>
    <customSheetView guid="{EF36F323-8F00-4DED-B12A-4D51E72FA301}" scale="110">
      <pageMargins left="0.78749999999999998" right="0.78749999999999998" top="1.0249999999999999" bottom="1.0249999999999999" header="0.78749999999999998" footer="0.78749999999999998"/>
      <pageSetup paperSize="9" firstPageNumber="0" orientation="portrait" r:id="rId4"/>
      <headerFooter>
        <oddHeader>&amp;C&amp;A</oddHeader>
        <oddFooter>&amp;CPage &amp;P</oddFooter>
      </headerFooter>
    </customSheetView>
    <customSheetView guid="{A4014A12-8077-400D-909C-C8C0AE2652D2}" scale="110">
      <pageMargins left="0.78749999999999998" right="0.78749999999999998" top="1.0249999999999999" bottom="1.0249999999999999" header="0.78749999999999998" footer="0.78749999999999998"/>
      <pageSetup paperSize="9" firstPageNumber="0" orientation="portrait" r:id="rId5"/>
      <headerFooter>
        <oddHeader>&amp;C&amp;A</oddHeader>
        <oddFooter>&amp;CPage &amp;P</oddFooter>
      </headerFooter>
    </customSheetView>
    <customSheetView guid="{254CA843-A8D1-434E-AB9C-F327B1D1E748}" scale="110">
      <pageMargins left="0.78749999999999998" right="0.78749999999999998" top="1.0249999999999999" bottom="1.0249999999999999" header="0.78749999999999998" footer="0.78749999999999998"/>
      <pageSetup paperSize="9" firstPageNumber="0" orientation="portrait" r:id="rId6"/>
      <headerFooter>
        <oddHeader>&amp;C&amp;A</oddHeader>
        <oddFooter>&amp;CPage &amp;P</oddFooter>
      </headerFooter>
    </customSheetView>
  </customSheetViews>
  <hyperlinks>
    <hyperlink ref="B3" location="'Tableau 1'!A1" display="Tableau 1 : Budget du Ministère de la Culture, 2017-2022 (crédits exécutés et lois de finances initiales, LFI)" xr:uid="{00000000-0004-0000-0000-000000000000}"/>
    <hyperlink ref="B4" location="'Tableau 3'!A1" display="Tableau 3 : Crédits du budget général et budgets annexes des autres ministères, affectés à la Culture et à la Communication, 2017-2022" xr:uid="{00000000-0004-0000-0000-000001000000}"/>
    <hyperlink ref="B8" location="'Tableau 4'!A1" display="Tableau 4 : Dépenses fiscales en matière de culture et de communication, 2017-2022" xr:uid="{00000000-0004-0000-0000-000002000000}"/>
    <hyperlink ref="B10" location="'Tableau 5'!A1" display="Tableau 5 : Redevances et taxes fiscales affectées au financement de la culture et de la communication, 2017-2022" xr:uid="{00000000-0004-0000-0000-000003000000}"/>
    <hyperlink ref="B6" location="'Graphique 1'!A1" display="Graphique 1. Dépenses culturelles consolidées des collectivités territoriales en 2020" xr:uid="{00000000-0004-0000-0000-000004000000}"/>
    <hyperlink ref="B9" location="'Tableau 6'!A1" display="Tableau 6 : Répartition sectorielle des dépenses des collectivités territoriales en 2020" xr:uid="{00000000-0004-0000-0000-000005000000}"/>
    <hyperlink ref="B7" location="'Graphique 2'!A1" display="Graphique 2 – Evolution des dépenses publiques en matière culturelle, 2014-2022" xr:uid="{00000000-0004-0000-0000-000006000000}"/>
    <hyperlink ref="B5" location="'Tableau 2 '!A1" display="Tableau 2 : Crédits du budget du ministère de la Culture affectés aux établissements publics culturels " xr:uid="{00000000-0004-0000-0000-000008000000}"/>
    <hyperlink ref="B11" location="'Graphique 3'!A16" display="Graphique 3 : Recettes publicitaires nettes* des médias, 2014-2024" xr:uid="{895E3E9F-2F15-4633-ABD0-1AB66E3124D7}"/>
  </hyperlinks>
  <pageMargins left="0.78749999999999998" right="0.78749999999999998" top="1.0249999999999999" bottom="1.0249999999999999" header="0.78749999999999998" footer="0.78749999999999998"/>
  <pageSetup paperSize="9" firstPageNumber="0" orientation="portrait" r:id="rId7"/>
  <headerFooter>
    <oddHeader>&amp;C&amp;A</oddHeader>
    <oddFooter>&amp;C&amp;"Calibri"&amp;11&amp;K000000&amp;"Calibri"&amp;11&amp;K000000&amp;"Calibri"&amp;11&amp;K000000Page &amp;P_x000D_&amp;1#&amp;"Calibri"&amp;12&amp;K008000C1 Données Internes</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S84"/>
  <sheetViews>
    <sheetView zoomScale="90" zoomScaleNormal="90" workbookViewId="0">
      <selection activeCell="L73" sqref="L73"/>
    </sheetView>
  </sheetViews>
  <sheetFormatPr baseColWidth="10" defaultColWidth="11.54296875" defaultRowHeight="10" x14ac:dyDescent="0.2"/>
  <cols>
    <col min="1" max="1" width="95" style="3" customWidth="1"/>
    <col min="2" max="2" width="8.90625" style="3" customWidth="1"/>
    <col min="3" max="3" width="7.54296875" style="3" customWidth="1"/>
    <col min="4" max="4" width="7.453125" style="3" customWidth="1"/>
    <col min="5" max="5" width="7.54296875" style="3" customWidth="1"/>
    <col min="6" max="6" width="7.453125" style="3" customWidth="1"/>
    <col min="7" max="7" width="7.54296875" style="3" customWidth="1"/>
    <col min="8" max="8" width="7.453125" style="3" customWidth="1"/>
    <col min="9" max="9" width="6.90625" style="3" customWidth="1"/>
    <col min="10" max="11" width="8.453125" style="3" customWidth="1"/>
    <col min="12" max="12" width="8.54296875" style="3" customWidth="1"/>
    <col min="13" max="13" width="8.453125" style="3" customWidth="1"/>
    <col min="14" max="14" width="7.90625" style="3" customWidth="1"/>
    <col min="15" max="16384" width="11.54296875" style="3"/>
  </cols>
  <sheetData>
    <row r="1" spans="1:13" ht="10.5" x14ac:dyDescent="0.25">
      <c r="A1" s="31" t="s">
        <v>853</v>
      </c>
      <c r="M1" s="26"/>
    </row>
    <row r="2" spans="1:13" x14ac:dyDescent="0.2">
      <c r="A2" s="247" t="s">
        <v>854</v>
      </c>
      <c r="M2" s="26"/>
    </row>
    <row r="3" spans="1:13" x14ac:dyDescent="0.2">
      <c r="A3" s="26"/>
      <c r="B3" s="26"/>
      <c r="C3" s="26"/>
      <c r="D3" s="26"/>
      <c r="E3" s="26"/>
      <c r="F3" s="26"/>
      <c r="G3" s="26"/>
      <c r="H3" s="26"/>
      <c r="I3" s="26"/>
      <c r="J3" s="197"/>
    </row>
    <row r="4" spans="1:13" x14ac:dyDescent="0.2">
      <c r="A4" s="28"/>
      <c r="B4" s="26"/>
      <c r="C4" s="26"/>
      <c r="D4" s="26"/>
      <c r="E4" s="26"/>
      <c r="F4" s="26"/>
      <c r="G4" s="26"/>
      <c r="H4" s="26"/>
      <c r="I4" s="26"/>
    </row>
    <row r="21" spans="11:11" x14ac:dyDescent="0.2">
      <c r="K21" s="290"/>
    </row>
    <row r="37" spans="1:10" ht="12" customHeight="1" x14ac:dyDescent="0.2">
      <c r="A37" s="24" t="s">
        <v>44</v>
      </c>
      <c r="J37" s="285"/>
    </row>
    <row r="38" spans="1:10" ht="12" customHeight="1" x14ac:dyDescent="0.2">
      <c r="A38" s="3" t="s">
        <v>922</v>
      </c>
      <c r="J38" s="285"/>
    </row>
    <row r="39" spans="1:10" ht="6" customHeight="1" x14ac:dyDescent="0.2"/>
    <row r="40" spans="1:10" ht="12" customHeight="1" x14ac:dyDescent="0.2">
      <c r="A40" s="3" t="s">
        <v>45</v>
      </c>
    </row>
    <row r="41" spans="1:10" ht="5.4" customHeight="1" x14ac:dyDescent="0.2"/>
    <row r="42" spans="1:10" ht="12" customHeight="1" x14ac:dyDescent="0.2">
      <c r="A42" s="3" t="s">
        <v>93</v>
      </c>
    </row>
    <row r="43" spans="1:10" ht="12" customHeight="1" x14ac:dyDescent="0.2">
      <c r="A43" s="3" t="s">
        <v>36</v>
      </c>
    </row>
    <row r="44" spans="1:10" ht="12" customHeight="1" x14ac:dyDescent="0.2">
      <c r="A44" s="3" t="s">
        <v>94</v>
      </c>
    </row>
    <row r="45" spans="1:10" ht="6" customHeight="1" x14ac:dyDescent="0.2"/>
    <row r="46" spans="1:10" ht="12" customHeight="1" x14ac:dyDescent="0.2">
      <c r="A46" s="3" t="s">
        <v>817</v>
      </c>
      <c r="B46" s="57"/>
      <c r="C46" s="57"/>
    </row>
    <row r="47" spans="1:10" ht="12" customHeight="1" x14ac:dyDescent="0.2">
      <c r="B47" s="57"/>
      <c r="C47" s="57"/>
    </row>
    <row r="48" spans="1:10" ht="10.5" x14ac:dyDescent="0.25">
      <c r="A48" s="31" t="s">
        <v>855</v>
      </c>
    </row>
    <row r="49" spans="1:15" x14ac:dyDescent="0.2">
      <c r="A49" s="247" t="s">
        <v>854</v>
      </c>
    </row>
    <row r="50" spans="1:15" ht="10.5" x14ac:dyDescent="0.25">
      <c r="B50" s="1082" t="s">
        <v>740</v>
      </c>
      <c r="C50" s="1082"/>
      <c r="D50" s="1082"/>
      <c r="E50" s="1082"/>
      <c r="F50" s="1082"/>
      <c r="G50" s="1082"/>
      <c r="H50" s="1082"/>
      <c r="I50" s="1082"/>
      <c r="J50" s="1082"/>
      <c r="M50" s="678" t="s">
        <v>121</v>
      </c>
    </row>
    <row r="51" spans="1:15" ht="12.5" x14ac:dyDescent="0.25">
      <c r="A51" s="180" t="s">
        <v>791</v>
      </c>
      <c r="B51" s="404">
        <v>2014</v>
      </c>
      <c r="C51" s="404">
        <v>2015</v>
      </c>
      <c r="D51" s="404">
        <v>2016</v>
      </c>
      <c r="E51" s="404">
        <v>2017</v>
      </c>
      <c r="F51" s="404">
        <v>2018</v>
      </c>
      <c r="G51" s="404">
        <v>2019</v>
      </c>
      <c r="H51" s="405">
        <v>2020</v>
      </c>
      <c r="I51" s="405">
        <v>2021</v>
      </c>
      <c r="J51" s="58">
        <v>2022</v>
      </c>
      <c r="K51" s="404">
        <v>2023</v>
      </c>
      <c r="L51" s="586">
        <v>2024</v>
      </c>
      <c r="M51" s="404">
        <v>2025</v>
      </c>
      <c r="N51" s="404">
        <v>2026</v>
      </c>
      <c r="O51"/>
    </row>
    <row r="52" spans="1:15" ht="20.399999999999999" customHeight="1" x14ac:dyDescent="0.25">
      <c r="A52" s="443" t="s">
        <v>805</v>
      </c>
      <c r="B52" s="444">
        <v>6818.9520254043964</v>
      </c>
      <c r="C52" s="444">
        <v>6216.2673227934529</v>
      </c>
      <c r="D52" s="444">
        <v>6064.7621994169513</v>
      </c>
      <c r="E52" s="444">
        <v>6137.4301657603382</v>
      </c>
      <c r="F52" s="444">
        <v>6151.6084229697371</v>
      </c>
      <c r="G52" s="444">
        <v>6492.9430560386782</v>
      </c>
      <c r="H52" s="445">
        <v>5950.72162307708</v>
      </c>
      <c r="I52" s="445">
        <v>6189.4259130522842</v>
      </c>
      <c r="J52" s="449">
        <v>6305.459014871064</v>
      </c>
      <c r="K52" s="446">
        <v>6318</v>
      </c>
      <c r="L52" s="587"/>
      <c r="N52"/>
      <c r="O52" s="1"/>
    </row>
    <row r="53" spans="1:15" ht="20.399999999999999" customHeight="1" x14ac:dyDescent="0.25">
      <c r="A53" s="447" t="s">
        <v>927</v>
      </c>
      <c r="B53" s="444">
        <v>4506.8640276248625</v>
      </c>
      <c r="C53" s="444">
        <v>4689.8599999999988</v>
      </c>
      <c r="D53" s="444">
        <v>4938.6500348918353</v>
      </c>
      <c r="E53" s="444">
        <v>5027.4756578299011</v>
      </c>
      <c r="F53" s="444">
        <v>5047.8450289575285</v>
      </c>
      <c r="G53" s="444">
        <v>4993.2122915674126</v>
      </c>
      <c r="H53" s="444">
        <v>5368.2921327014219</v>
      </c>
      <c r="I53" s="444">
        <v>5356.5204309063884</v>
      </c>
      <c r="J53" s="444">
        <v>5283.6883111189045</v>
      </c>
      <c r="K53" s="716">
        <f>K79</f>
        <v>5090.7199999999984</v>
      </c>
      <c r="L53" s="444">
        <v>5316.16</v>
      </c>
      <c r="M53" s="717">
        <v>5008.1899999999987</v>
      </c>
      <c r="N53" s="717">
        <v>5096.6100000000006</v>
      </c>
      <c r="O53" s="93"/>
    </row>
    <row r="54" spans="1:15" ht="20.399999999999999" customHeight="1" x14ac:dyDescent="0.25">
      <c r="A54" s="448" t="s">
        <v>928</v>
      </c>
      <c r="B54" s="707">
        <v>4032.8069352825041</v>
      </c>
      <c r="C54" s="707">
        <v>3975.00253581165</v>
      </c>
      <c r="D54" s="707">
        <v>3923.6759701674805</v>
      </c>
      <c r="E54" s="707">
        <v>4169.6657632797878</v>
      </c>
      <c r="F54" s="707">
        <v>4153.8536679536683</v>
      </c>
      <c r="G54" s="707">
        <v>4171.3919580752736</v>
      </c>
      <c r="H54" s="707">
        <v>5045.8992369668249</v>
      </c>
      <c r="I54" s="707">
        <v>5125.8906801541598</v>
      </c>
      <c r="J54" s="707">
        <v>4476.9330817476321</v>
      </c>
      <c r="K54" s="444">
        <v>4591.3452360000001</v>
      </c>
      <c r="L54" s="708">
        <f>'Tableau 1'!M17</f>
        <v>4576.2700000000004</v>
      </c>
      <c r="M54" s="444">
        <v>4638.0312780000004</v>
      </c>
      <c r="N54" s="444">
        <v>4438.0399699999998</v>
      </c>
      <c r="O54" s="93"/>
    </row>
    <row r="55" spans="1:15" ht="20.399999999999999" customHeight="1" x14ac:dyDescent="0.25">
      <c r="A55" s="443" t="s">
        <v>806</v>
      </c>
      <c r="B55" s="444">
        <v>2021.5028765039235</v>
      </c>
      <c r="C55" s="444">
        <v>1943.0994678061836</v>
      </c>
      <c r="D55" s="444">
        <v>2031.0845986433271</v>
      </c>
      <c r="E55" s="444">
        <v>2131.2737032696245</v>
      </c>
      <c r="F55" s="444">
        <v>2213.4280751333763</v>
      </c>
      <c r="G55" s="444">
        <v>2337.718511667023</v>
      </c>
      <c r="H55" s="445">
        <v>2062.5329680534915</v>
      </c>
      <c r="I55" s="445">
        <v>2272.9471811340081</v>
      </c>
      <c r="J55" s="449">
        <v>2314.5488536964299</v>
      </c>
      <c r="K55" s="446">
        <v>2401</v>
      </c>
      <c r="L55" s="587"/>
      <c r="N55"/>
      <c r="O55" s="93"/>
    </row>
    <row r="56" spans="1:15" ht="20.399999999999999" customHeight="1" x14ac:dyDescent="0.25">
      <c r="A56" s="443" t="s">
        <v>792</v>
      </c>
      <c r="B56" s="444">
        <v>1608.513403920319</v>
      </c>
      <c r="C56" s="444">
        <v>1473.999373633678</v>
      </c>
      <c r="D56" s="444">
        <v>1422.2964992844491</v>
      </c>
      <c r="E56" s="444">
        <v>1335.6734104838047</v>
      </c>
      <c r="F56" s="444">
        <v>1288.8401151445639</v>
      </c>
      <c r="G56" s="444">
        <v>1334.946231505869</v>
      </c>
      <c r="H56" s="444">
        <v>1053.863965901003</v>
      </c>
      <c r="I56" s="445">
        <v>1255.0218979818906</v>
      </c>
      <c r="J56" s="449">
        <v>1254.9845343587917</v>
      </c>
      <c r="K56" s="446">
        <v>1234</v>
      </c>
      <c r="L56" s="587"/>
      <c r="N56"/>
      <c r="O56" s="93"/>
    </row>
    <row r="57" spans="1:15" ht="20.399999999999999" customHeight="1" x14ac:dyDescent="0.2">
      <c r="A57" s="443" t="s">
        <v>18</v>
      </c>
      <c r="B57" s="444">
        <v>891.49167224380199</v>
      </c>
      <c r="C57" s="444">
        <v>925.78295983365297</v>
      </c>
      <c r="D57" s="444">
        <v>821.30088071227146</v>
      </c>
      <c r="E57" s="444">
        <v>804.57676321065435</v>
      </c>
      <c r="F57" s="444">
        <v>836.36677880061291</v>
      </c>
      <c r="G57" s="444">
        <v>856.06134959458575</v>
      </c>
      <c r="H57" s="445">
        <v>897.92867378213225</v>
      </c>
      <c r="I57" s="445">
        <v>846.06842510331523</v>
      </c>
      <c r="J57" s="449">
        <v>830.08709713187443</v>
      </c>
      <c r="K57" s="446">
        <v>781</v>
      </c>
      <c r="L57" s="587"/>
    </row>
    <row r="59" spans="1:15" x14ac:dyDescent="0.2">
      <c r="A59" s="24" t="s">
        <v>44</v>
      </c>
    </row>
    <row r="60" spans="1:15" x14ac:dyDescent="0.2">
      <c r="A60" s="3" t="s">
        <v>922</v>
      </c>
    </row>
    <row r="62" spans="1:15" x14ac:dyDescent="0.2">
      <c r="A62" s="3" t="s">
        <v>45</v>
      </c>
    </row>
    <row r="64" spans="1:15" x14ac:dyDescent="0.2">
      <c r="A64" s="3" t="s">
        <v>93</v>
      </c>
    </row>
    <row r="65" spans="1:19" x14ac:dyDescent="0.2">
      <c r="A65" s="3" t="s">
        <v>36</v>
      </c>
    </row>
    <row r="66" spans="1:19" x14ac:dyDescent="0.2">
      <c r="A66" s="3" t="s">
        <v>94</v>
      </c>
    </row>
    <row r="68" spans="1:19" x14ac:dyDescent="0.2">
      <c r="A68" s="3" t="s">
        <v>818</v>
      </c>
    </row>
    <row r="70" spans="1:19" x14ac:dyDescent="0.2">
      <c r="G70" s="3" t="s">
        <v>121</v>
      </c>
    </row>
    <row r="71" spans="1:19" ht="10.5" x14ac:dyDescent="0.25">
      <c r="B71" s="404">
        <v>2014</v>
      </c>
      <c r="C71" s="404">
        <v>2015</v>
      </c>
      <c r="D71" s="404">
        <v>2016</v>
      </c>
      <c r="E71" s="404">
        <v>2017</v>
      </c>
      <c r="F71" s="404">
        <v>2018</v>
      </c>
      <c r="G71" s="404">
        <v>2019</v>
      </c>
      <c r="H71" s="405">
        <v>2020</v>
      </c>
      <c r="I71" s="405">
        <v>2021</v>
      </c>
      <c r="J71" s="58">
        <v>2022</v>
      </c>
      <c r="K71" s="404">
        <v>2023</v>
      </c>
      <c r="L71" s="586">
        <v>2024</v>
      </c>
      <c r="M71" s="404">
        <v>2025</v>
      </c>
      <c r="N71" s="404">
        <v>2026</v>
      </c>
      <c r="R71" s="592">
        <v>2014</v>
      </c>
      <c r="S71" s="593">
        <v>0.82912863070539411</v>
      </c>
    </row>
    <row r="72" spans="1:19" x14ac:dyDescent="0.2">
      <c r="A72" s="57" t="s">
        <v>861</v>
      </c>
      <c r="B72" s="705">
        <v>3343.7156921499995</v>
      </c>
      <c r="C72" s="705">
        <v>3298.7572911300003</v>
      </c>
      <c r="D72" s="705">
        <v>3266.2567349999999</v>
      </c>
      <c r="E72" s="705">
        <v>3511.17</v>
      </c>
      <c r="F72" s="705">
        <v>3571.28</v>
      </c>
      <c r="G72" s="703">
        <v>3633.0919999999996</v>
      </c>
      <c r="H72" s="703">
        <v>4417.7790000000005</v>
      </c>
      <c r="I72" s="703">
        <v>4580.5469579999999</v>
      </c>
      <c r="J72" s="703">
        <v>4236.9248850000004</v>
      </c>
      <c r="K72" s="703">
        <v>4591.3452360000001</v>
      </c>
      <c r="L72" s="703">
        <f>'Tableau 1'!M17</f>
        <v>4576.2700000000004</v>
      </c>
      <c r="M72" s="703">
        <v>4638.0312780000004</v>
      </c>
      <c r="N72" s="703">
        <v>4438.0399699999998</v>
      </c>
      <c r="R72" s="592">
        <v>2015</v>
      </c>
      <c r="S72" s="593">
        <v>0.82987551867219922</v>
      </c>
    </row>
    <row r="73" spans="1:19" x14ac:dyDescent="0.2">
      <c r="G73" s="3" t="s">
        <v>860</v>
      </c>
      <c r="R73" s="592">
        <v>2016</v>
      </c>
      <c r="S73" s="593">
        <v>0.83244813278008301</v>
      </c>
    </row>
    <row r="74" spans="1:19" x14ac:dyDescent="0.2">
      <c r="A74" s="57" t="s">
        <v>920</v>
      </c>
      <c r="B74" s="704">
        <f>B72/S71</f>
        <v>4032.8069352825041</v>
      </c>
      <c r="C74" s="704">
        <f>C72/S72</f>
        <v>3975.00253581165</v>
      </c>
      <c r="D74" s="704">
        <f>D72/S73</f>
        <v>3923.6759701674805</v>
      </c>
      <c r="E74" s="704">
        <f>E72/S74</f>
        <v>4169.6657632797878</v>
      </c>
      <c r="F74" s="704">
        <f>F72/S75</f>
        <v>4153.8536679536683</v>
      </c>
      <c r="G74" s="704">
        <f>G72/Q76</f>
        <v>4171.3919580752736</v>
      </c>
      <c r="H74" s="704">
        <f>H72/Q77</f>
        <v>5045.8992369668249</v>
      </c>
      <c r="I74" s="704">
        <f>I72/Q78</f>
        <v>5125.8906801541598</v>
      </c>
      <c r="J74" s="704">
        <f>J72/Q79</f>
        <v>4476.9330817476321</v>
      </c>
      <c r="K74" s="704">
        <f>K72/Q80</f>
        <v>4591.3452360000001</v>
      </c>
      <c r="R74" s="592">
        <v>2017</v>
      </c>
      <c r="S74" s="593">
        <v>0.84207468879668046</v>
      </c>
    </row>
    <row r="75" spans="1:19" ht="12.5" x14ac:dyDescent="0.25">
      <c r="B75" s="54"/>
      <c r="C75" s="706">
        <f t="shared" ref="C75:G75" si="0">C74/B74-1</f>
        <v>-1.4333539988024446E-2</v>
      </c>
      <c r="D75" s="706">
        <f t="shared" si="0"/>
        <v>-1.2912335320985902E-2</v>
      </c>
      <c r="E75" s="54">
        <f t="shared" si="0"/>
        <v>6.2693707376098029E-2</v>
      </c>
      <c r="F75" s="54">
        <f t="shared" si="0"/>
        <v>-3.7921733356589549E-3</v>
      </c>
      <c r="G75" s="54">
        <f t="shared" si="0"/>
        <v>4.2221733174931941E-3</v>
      </c>
      <c r="H75" s="54">
        <f>H74/G74-1</f>
        <v>0.20964399598043504</v>
      </c>
      <c r="I75" s="54">
        <f t="shared" ref="I75:K75" si="1">I74/H74-1</f>
        <v>1.5852762695162115E-2</v>
      </c>
      <c r="J75" s="706">
        <f t="shared" si="1"/>
        <v>-0.12660387021500241</v>
      </c>
      <c r="K75" s="54">
        <f t="shared" si="1"/>
        <v>2.5555922360962713E-2</v>
      </c>
      <c r="R75" s="592">
        <v>2018</v>
      </c>
      <c r="S75" s="593">
        <v>0.85975103734439828</v>
      </c>
    </row>
    <row r="76" spans="1:19" ht="12.5" x14ac:dyDescent="0.25">
      <c r="A76" s="57" t="s">
        <v>921</v>
      </c>
      <c r="B76" s="709">
        <f>B79/S71</f>
        <v>4506.8640276248625</v>
      </c>
      <c r="C76" s="709">
        <f>C79/S72</f>
        <v>4689.8599999999988</v>
      </c>
      <c r="D76" s="709">
        <f>D79/S73</f>
        <v>4938.6500348918353</v>
      </c>
      <c r="E76" s="709">
        <f>E79/S74</f>
        <v>5027.4756578299011</v>
      </c>
      <c r="F76" s="709">
        <f>F79/S75</f>
        <v>5047.8450289575285</v>
      </c>
      <c r="G76" s="715">
        <f>G84/S76</f>
        <v>4993.2122915674126</v>
      </c>
      <c r="H76" s="715">
        <f>H84/S77</f>
        <v>5368.2921327014219</v>
      </c>
      <c r="I76" s="715">
        <f>I84/S78</f>
        <v>5356.5204309063884</v>
      </c>
      <c r="J76" s="715">
        <f>J84/S79</f>
        <v>5283.6883111189045</v>
      </c>
      <c r="K76" s="709"/>
      <c r="L76" s="709"/>
      <c r="P76" s="592">
        <v>2019</v>
      </c>
      <c r="Q76" s="593">
        <v>0.87095435684647304</v>
      </c>
      <c r="R76" s="592">
        <v>2019</v>
      </c>
      <c r="S76" s="593">
        <v>0.87095435684647304</v>
      </c>
    </row>
    <row r="77" spans="1:19" x14ac:dyDescent="0.2">
      <c r="P77" s="592">
        <v>2020</v>
      </c>
      <c r="Q77" s="593">
        <v>0.87551867219917012</v>
      </c>
      <c r="R77" s="592">
        <v>2020</v>
      </c>
      <c r="S77" s="593">
        <v>0.87551867219917012</v>
      </c>
    </row>
    <row r="78" spans="1:19" ht="10.5" x14ac:dyDescent="0.25">
      <c r="A78" s="180" t="s">
        <v>791</v>
      </c>
      <c r="B78" s="404">
        <v>2014</v>
      </c>
      <c r="C78" s="404">
        <v>2015</v>
      </c>
      <c r="D78" s="404">
        <v>2016</v>
      </c>
      <c r="E78" s="404">
        <v>2017</v>
      </c>
      <c r="F78" s="404">
        <v>2018</v>
      </c>
      <c r="G78" s="404">
        <v>2019</v>
      </c>
      <c r="H78" s="405">
        <v>2020</v>
      </c>
      <c r="I78" s="405">
        <v>2021</v>
      </c>
      <c r="J78" s="58">
        <v>2022</v>
      </c>
      <c r="K78" s="404">
        <v>2023</v>
      </c>
      <c r="L78" s="404">
        <v>2024</v>
      </c>
      <c r="P78" s="592">
        <v>2021</v>
      </c>
      <c r="Q78" s="593">
        <v>0.89360995850622416</v>
      </c>
      <c r="R78" s="592">
        <v>2021</v>
      </c>
      <c r="S78" s="593">
        <v>0.89360995850622416</v>
      </c>
    </row>
    <row r="79" spans="1:19" ht="10.5" x14ac:dyDescent="0.25">
      <c r="A79" s="1" t="s">
        <v>915</v>
      </c>
      <c r="B79" s="702">
        <v>3736.7699999999995</v>
      </c>
      <c r="C79" s="702">
        <v>3891.9999999999995</v>
      </c>
      <c r="D79" s="702">
        <v>4111.17</v>
      </c>
      <c r="E79" s="702">
        <v>4233.51</v>
      </c>
      <c r="F79" s="702">
        <v>4339.8899999999994</v>
      </c>
      <c r="G79" s="714">
        <v>4373.83</v>
      </c>
      <c r="H79" s="714">
        <v>4699.6899999999996</v>
      </c>
      <c r="I79" s="714">
        <v>4783.6899999999996</v>
      </c>
      <c r="J79" s="714">
        <v>5003.5200000000004</v>
      </c>
      <c r="K79" s="713">
        <f>'Tableau 3 '!K6</f>
        <v>5090.7199999999984</v>
      </c>
      <c r="L79" s="702">
        <v>5256.56</v>
      </c>
      <c r="P79" s="592">
        <v>2022</v>
      </c>
      <c r="Q79" s="593">
        <v>0.94639004149377604</v>
      </c>
      <c r="R79" s="592">
        <v>2022</v>
      </c>
      <c r="S79" s="593">
        <v>0.94639004149377604</v>
      </c>
    </row>
    <row r="80" spans="1:19" ht="10.5" x14ac:dyDescent="0.25">
      <c r="A80" s="1"/>
      <c r="B80" s="702"/>
      <c r="C80" s="702"/>
      <c r="D80" s="702"/>
      <c r="E80" s="702"/>
      <c r="F80" s="702"/>
      <c r="G80" s="702"/>
      <c r="H80" s="702"/>
      <c r="I80" s="702"/>
      <c r="J80" s="702" t="s">
        <v>917</v>
      </c>
      <c r="K80" s="702" t="s">
        <v>918</v>
      </c>
      <c r="L80" s="702" t="s">
        <v>919</v>
      </c>
      <c r="P80" s="592">
        <v>2023</v>
      </c>
      <c r="Q80" s="593">
        <v>1</v>
      </c>
      <c r="R80" s="592">
        <v>2023</v>
      </c>
      <c r="S80" s="593">
        <v>1</v>
      </c>
    </row>
    <row r="81" spans="1:19" ht="10.5" x14ac:dyDescent="0.25">
      <c r="A81" s="1"/>
      <c r="B81" s="702"/>
      <c r="C81" s="702"/>
      <c r="D81" s="702"/>
      <c r="E81" s="702"/>
      <c r="F81" s="702"/>
      <c r="G81" s="702"/>
      <c r="H81" s="702"/>
      <c r="I81" s="702"/>
      <c r="J81" s="702"/>
      <c r="K81" s="702"/>
      <c r="L81" s="702"/>
      <c r="P81" s="592"/>
      <c r="Q81" s="593"/>
      <c r="R81" s="592"/>
      <c r="S81" s="593"/>
    </row>
    <row r="82" spans="1:19" ht="10.5" x14ac:dyDescent="0.25">
      <c r="A82" s="1" t="s">
        <v>916</v>
      </c>
      <c r="B82" s="705">
        <v>3343.7156921499995</v>
      </c>
      <c r="C82" s="705">
        <v>3298.7572911300003</v>
      </c>
      <c r="D82" s="705">
        <v>3266.2567349999999</v>
      </c>
      <c r="E82" s="705">
        <v>3511.17</v>
      </c>
      <c r="F82" s="705">
        <v>3571.28</v>
      </c>
      <c r="G82" s="703">
        <v>3633.0919999999996</v>
      </c>
      <c r="H82" s="703">
        <v>4417.7790000000005</v>
      </c>
      <c r="I82" s="703">
        <v>4580.5469579999999</v>
      </c>
      <c r="J82" s="703">
        <v>4236.9248850000004</v>
      </c>
      <c r="K82" s="703">
        <v>4591.3452360000001</v>
      </c>
      <c r="L82" s="23">
        <v>4641.0678159999998</v>
      </c>
    </row>
    <row r="83" spans="1:19" x14ac:dyDescent="0.2">
      <c r="K83" s="3" t="s">
        <v>917</v>
      </c>
      <c r="L83" s="3" t="s">
        <v>918</v>
      </c>
    </row>
    <row r="84" spans="1:19" ht="10.5" x14ac:dyDescent="0.2">
      <c r="G84" s="710">
        <v>4348.8599999999997</v>
      </c>
      <c r="H84" s="711">
        <v>4700.04</v>
      </c>
      <c r="I84" s="711">
        <v>4786.6399999999994</v>
      </c>
      <c r="J84" s="712">
        <v>5000.4299999999994</v>
      </c>
    </row>
  </sheetData>
  <customSheetViews>
    <customSheetView guid="{B5EA72E7-EF27-46AE-B0E4-CAECE2734832}">
      <selection activeCell="I3" sqref="I3"/>
      <pageMargins left="0.78749999999999998" right="0.78749999999999998" top="1.0249999999999999" bottom="1.0249999999999999" header="0.78749999999999998" footer="0.78749999999999998"/>
      <pageSetup paperSize="9" firstPageNumber="0" orientation="portrait" r:id="rId1"/>
      <headerFooter>
        <oddHeader>&amp;C&amp;A</oddHeader>
        <oddFooter>&amp;CPage &amp;P</oddFooter>
      </headerFooter>
    </customSheetView>
    <customSheetView guid="{D7C60D54-F168-4802-9C20-D9E241B3AC75}">
      <selection activeCell="J12" sqref="J12"/>
      <pageMargins left="0.78749999999999998" right="0.78749999999999998" top="1.0249999999999999" bottom="1.0249999999999999" header="0.78749999999999998" footer="0.78749999999999998"/>
      <pageSetup paperSize="9" firstPageNumber="0" orientation="portrait" r:id="rId2"/>
      <headerFooter>
        <oddHeader>&amp;C&amp;A</oddHeader>
        <oddFooter>&amp;CPage &amp;P</oddFooter>
      </headerFooter>
    </customSheetView>
    <customSheetView guid="{D4A8130B-E15E-430B-BC62-FA365B34E0AF}">
      <selection activeCell="J12" sqref="J12"/>
      <pageMargins left="0.78749999999999998" right="0.78749999999999998" top="1.0249999999999999" bottom="1.0249999999999999" header="0.78749999999999998" footer="0.78749999999999998"/>
      <pageSetup paperSize="9" firstPageNumber="0" orientation="portrait" r:id="rId3"/>
      <headerFooter>
        <oddHeader>&amp;C&amp;A</oddHeader>
        <oddFooter>&amp;CPage &amp;P</oddFooter>
      </headerFooter>
    </customSheetView>
    <customSheetView guid="{EF36F323-8F00-4DED-B12A-4D51E72FA301}">
      <pageMargins left="0.78749999999999998" right="0.78749999999999998" top="1.0249999999999999" bottom="1.0249999999999999" header="0.78749999999999998" footer="0.78749999999999998"/>
      <pageSetup paperSize="9" firstPageNumber="0" orientation="portrait" r:id="rId4"/>
      <headerFooter>
        <oddHeader>&amp;C&amp;A</oddHeader>
        <oddFooter>&amp;CPage &amp;P</oddFooter>
      </headerFooter>
    </customSheetView>
    <customSheetView guid="{A4014A12-8077-400D-909C-C8C0AE2652D2}">
      <selection activeCell="I6" sqref="I6"/>
      <pageMargins left="0.78749999999999998" right="0.78749999999999998" top="1.0249999999999999" bottom="1.0249999999999999" header="0.78749999999999998" footer="0.78749999999999998"/>
      <pageSetup paperSize="9" firstPageNumber="0" orientation="portrait" r:id="rId5"/>
      <headerFooter>
        <oddHeader>&amp;C&amp;A</oddHeader>
        <oddFooter>&amp;CPage &amp;P</oddFooter>
      </headerFooter>
    </customSheetView>
    <customSheetView guid="{254CA843-A8D1-434E-AB9C-F327B1D1E748}">
      <selection activeCell="I7" sqref="I7"/>
      <pageMargins left="0.78749999999999998" right="0.78749999999999998" top="1.0249999999999999" bottom="1.0249999999999999" header="0.78749999999999998" footer="0.78749999999999998"/>
      <pageSetup paperSize="9" firstPageNumber="0" orientation="portrait" r:id="rId6"/>
      <headerFooter>
        <oddHeader>&amp;C&amp;A</oddHeader>
        <oddFooter>&amp;CPage &amp;P</oddFooter>
      </headerFooter>
    </customSheetView>
  </customSheetViews>
  <mergeCells count="1">
    <mergeCell ref="B50:J50"/>
  </mergeCells>
  <pageMargins left="0.78749999999999998" right="0.78749999999999998" top="1.0249999999999999" bottom="1.0249999999999999" header="0.78749999999999998" footer="0.78749999999999998"/>
  <pageSetup paperSize="9" firstPageNumber="0" orientation="portrait" r:id="rId7"/>
  <headerFooter>
    <oddHeader>&amp;C&amp;A</oddHeader>
    <oddFooter>&amp;C&amp;"Calibri"&amp;11&amp;K000000&amp;"Calibri"&amp;11&amp;K000000&amp;"Calibri"&amp;11&amp;K000000Page &amp;P_x000D_&amp;1#&amp;"Calibri"&amp;12&amp;K008000C1 Données Internes</oddFooter>
  </headerFooter>
  <drawing r:id="rId8"/>
  <legacyDrawing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pageSetUpPr fitToPage="1"/>
  </sheetPr>
  <dimension ref="A1:O25"/>
  <sheetViews>
    <sheetView zoomScale="120" zoomScaleNormal="120" workbookViewId="0">
      <selection activeCell="F31" sqref="F31"/>
    </sheetView>
  </sheetViews>
  <sheetFormatPr baseColWidth="10" defaultColWidth="9.08984375" defaultRowHeight="10" x14ac:dyDescent="0.2"/>
  <cols>
    <col min="1" max="1" width="41.08984375" style="3" customWidth="1"/>
    <col min="2" max="2" width="12.54296875" style="57" customWidth="1"/>
    <col min="3" max="3" width="17" style="57" customWidth="1"/>
    <col min="4" max="4" width="14.54296875" style="57" customWidth="1"/>
    <col min="5" max="5" width="14.90625" style="57" customWidth="1"/>
    <col min="6" max="6" width="23.54296875" style="57" customWidth="1"/>
    <col min="7" max="7" width="10.90625" style="57" customWidth="1"/>
    <col min="8" max="8" width="16.54296875" style="3" customWidth="1"/>
    <col min="9" max="9" width="11.08984375" style="3" customWidth="1"/>
    <col min="10" max="10" width="9.08984375" style="3"/>
    <col min="11" max="11" width="16" style="3" customWidth="1"/>
    <col min="12" max="12" width="12.453125" style="3" customWidth="1"/>
    <col min="13" max="13" width="11.453125" style="3" customWidth="1"/>
    <col min="14" max="14" width="9.08984375" style="3"/>
    <col min="15" max="15" width="9.08984375" style="65"/>
    <col min="16" max="17" width="13.54296875" style="3" customWidth="1"/>
    <col min="18" max="18" width="14.08984375" style="3" customWidth="1"/>
    <col min="19" max="19" width="10" style="3" customWidth="1"/>
    <col min="20" max="20" width="10.08984375" style="3" customWidth="1"/>
    <col min="21" max="21" width="9.54296875" style="3" customWidth="1"/>
    <col min="22" max="22" width="9.90625" style="3" customWidth="1"/>
    <col min="23" max="16384" width="9.08984375" style="3"/>
  </cols>
  <sheetData>
    <row r="1" spans="1:6" ht="10.5" x14ac:dyDescent="0.25">
      <c r="A1" s="148" t="s">
        <v>819</v>
      </c>
      <c r="F1" s="170"/>
    </row>
    <row r="2" spans="1:6" x14ac:dyDescent="0.2">
      <c r="A2" s="3" t="s">
        <v>80</v>
      </c>
    </row>
    <row r="3" spans="1:6" ht="16.399999999999999" customHeight="1" x14ac:dyDescent="0.2">
      <c r="F3" s="182" t="s">
        <v>19</v>
      </c>
    </row>
    <row r="4" spans="1:6" x14ac:dyDescent="0.2">
      <c r="A4" s="177"/>
      <c r="B4" s="127" t="s">
        <v>20</v>
      </c>
      <c r="C4" s="127" t="s">
        <v>21</v>
      </c>
      <c r="D4" s="127" t="s">
        <v>728</v>
      </c>
      <c r="E4" s="180" t="s">
        <v>18</v>
      </c>
      <c r="F4" s="127" t="s">
        <v>22</v>
      </c>
    </row>
    <row r="5" spans="1:6" ht="10.5" x14ac:dyDescent="0.25">
      <c r="A5" s="91" t="s">
        <v>23</v>
      </c>
      <c r="B5" s="286">
        <v>35.132775619263825</v>
      </c>
      <c r="C5" s="286">
        <v>36.345710445379567</v>
      </c>
      <c r="D5" s="286">
        <v>58.383935853879407</v>
      </c>
      <c r="E5" s="287">
        <v>22.594452892595836</v>
      </c>
      <c r="F5" s="286">
        <v>37.138353231308152</v>
      </c>
    </row>
    <row r="6" spans="1:6" x14ac:dyDescent="0.2">
      <c r="A6" s="38" t="s">
        <v>24</v>
      </c>
      <c r="B6" s="248">
        <v>17.002333763677068</v>
      </c>
      <c r="C6" s="248">
        <v>20.601849818268654</v>
      </c>
      <c r="D6" s="248">
        <v>12.264782572395589</v>
      </c>
      <c r="E6" s="474">
        <v>0.29978137208218769</v>
      </c>
      <c r="F6" s="248">
        <v>16.104913397700756</v>
      </c>
    </row>
    <row r="7" spans="1:6" x14ac:dyDescent="0.2">
      <c r="A7" s="38" t="s">
        <v>26</v>
      </c>
      <c r="B7" s="248">
        <v>9.6680410757084925</v>
      </c>
      <c r="C7" s="248">
        <v>9.3158579468630478</v>
      </c>
      <c r="D7" s="248">
        <v>11.7791749889215</v>
      </c>
      <c r="E7" s="474">
        <v>0.66164385665791114</v>
      </c>
      <c r="F7" s="248">
        <v>9.190394996371813</v>
      </c>
    </row>
    <row r="8" spans="1:6" x14ac:dyDescent="0.2">
      <c r="A8" s="38" t="s">
        <v>27</v>
      </c>
      <c r="B8" s="248">
        <v>1.1557512046464891</v>
      </c>
      <c r="C8" s="248">
        <v>3.9434224912408764</v>
      </c>
      <c r="D8" s="248">
        <v>17.612326356554302</v>
      </c>
      <c r="E8" s="474">
        <v>0.18483531224879549</v>
      </c>
      <c r="F8" s="248">
        <v>3.5692795813738991</v>
      </c>
    </row>
    <row r="9" spans="1:6" x14ac:dyDescent="0.2">
      <c r="A9" s="178" t="s">
        <v>28</v>
      </c>
      <c r="B9" s="288">
        <v>7.3066495752317699</v>
      </c>
      <c r="C9" s="288">
        <v>2.4845801890069903</v>
      </c>
      <c r="D9" s="288">
        <v>16.727651936008016</v>
      </c>
      <c r="E9" s="475">
        <v>21.448192351606941</v>
      </c>
      <c r="F9" s="288">
        <v>8.2737652558616848</v>
      </c>
    </row>
    <row r="10" spans="1:6" ht="10.5" x14ac:dyDescent="0.25">
      <c r="A10" s="91" t="s">
        <v>29</v>
      </c>
      <c r="B10" s="286">
        <v>21.264770259435505</v>
      </c>
      <c r="C10" s="286">
        <v>22.303799227392194</v>
      </c>
      <c r="D10" s="286">
        <v>41.6160641461206</v>
      </c>
      <c r="E10" s="287">
        <v>77.405547107404161</v>
      </c>
      <c r="F10" s="286">
        <v>27.750878234365516</v>
      </c>
    </row>
    <row r="11" spans="1:6" x14ac:dyDescent="0.2">
      <c r="A11" s="38" t="s">
        <v>30</v>
      </c>
      <c r="B11" s="248">
        <v>6.4521287948887149</v>
      </c>
      <c r="C11" s="248">
        <v>9.646416526171949</v>
      </c>
      <c r="D11" s="248" t="s">
        <v>25</v>
      </c>
      <c r="E11" s="474" t="s">
        <v>25</v>
      </c>
      <c r="F11" s="248" t="s">
        <v>25</v>
      </c>
    </row>
    <row r="12" spans="1:6" x14ac:dyDescent="0.2">
      <c r="A12" s="38" t="s">
        <v>31</v>
      </c>
      <c r="B12" s="248">
        <v>2.8543042833981702</v>
      </c>
      <c r="C12" s="248">
        <v>1.2170130250782072</v>
      </c>
      <c r="D12" s="248" t="s">
        <v>25</v>
      </c>
      <c r="E12" s="474" t="s">
        <v>25</v>
      </c>
      <c r="F12" s="248" t="s">
        <v>25</v>
      </c>
    </row>
    <row r="13" spans="1:6" x14ac:dyDescent="0.2">
      <c r="A13" s="38" t="s">
        <v>32</v>
      </c>
      <c r="B13" s="248">
        <v>5.3874561425503948</v>
      </c>
      <c r="C13" s="248">
        <v>5.3917626303486159</v>
      </c>
      <c r="D13" s="248" t="s">
        <v>25</v>
      </c>
      <c r="E13" s="474" t="s">
        <v>25</v>
      </c>
      <c r="F13" s="248" t="s">
        <v>25</v>
      </c>
    </row>
    <row r="14" spans="1:6" x14ac:dyDescent="0.2">
      <c r="A14" s="38" t="s">
        <v>33</v>
      </c>
      <c r="B14" s="248">
        <v>6.5708810385982241</v>
      </c>
      <c r="C14" s="248">
        <v>6.0486070457934247</v>
      </c>
      <c r="D14" s="248" t="s">
        <v>25</v>
      </c>
      <c r="E14" s="474" t="s">
        <v>25</v>
      </c>
      <c r="F14" s="248" t="s">
        <v>25</v>
      </c>
    </row>
    <row r="15" spans="1:6" ht="10.5" x14ac:dyDescent="0.25">
      <c r="A15" s="284" t="s">
        <v>34</v>
      </c>
      <c r="B15" s="289">
        <v>26.403514834015944</v>
      </c>
      <c r="C15" s="289">
        <v>31.070190388643926</v>
      </c>
      <c r="D15" s="289" t="s">
        <v>25</v>
      </c>
      <c r="E15" s="476" t="s">
        <v>25</v>
      </c>
      <c r="F15" s="289">
        <v>22.625344054533532</v>
      </c>
    </row>
    <row r="16" spans="1:6" ht="10.5" x14ac:dyDescent="0.25">
      <c r="A16" s="91" t="s">
        <v>40</v>
      </c>
      <c r="B16" s="286">
        <v>17.198939287284716</v>
      </c>
      <c r="C16" s="286">
        <v>10.280299938584308</v>
      </c>
      <c r="D16" s="286">
        <v>0</v>
      </c>
      <c r="E16" s="287">
        <v>0</v>
      </c>
      <c r="F16" s="286">
        <v>12.485424479792794</v>
      </c>
    </row>
    <row r="17" spans="1:6" ht="10.5" x14ac:dyDescent="0.25">
      <c r="A17" s="179" t="s">
        <v>6</v>
      </c>
      <c r="B17" s="176">
        <v>100</v>
      </c>
      <c r="C17" s="176">
        <v>100</v>
      </c>
      <c r="D17" s="176">
        <v>100</v>
      </c>
      <c r="E17" s="181">
        <v>100</v>
      </c>
      <c r="F17" s="176">
        <v>100</v>
      </c>
    </row>
    <row r="18" spans="1:6" x14ac:dyDescent="0.2">
      <c r="B18" s="248"/>
      <c r="C18" s="248"/>
      <c r="D18" s="248"/>
      <c r="E18" s="248"/>
      <c r="F18" s="248"/>
    </row>
    <row r="19" spans="1:6" x14ac:dyDescent="0.2">
      <c r="A19" s="3" t="s">
        <v>820</v>
      </c>
      <c r="B19" s="3"/>
      <c r="C19" s="3"/>
      <c r="D19" s="3"/>
      <c r="E19" s="3"/>
      <c r="F19" s="3"/>
    </row>
    <row r="20" spans="1:6" x14ac:dyDescent="0.2">
      <c r="A20" s="3" t="s">
        <v>35</v>
      </c>
      <c r="B20" s="3"/>
      <c r="C20" s="3"/>
      <c r="D20" s="3"/>
      <c r="E20" s="3"/>
      <c r="F20" s="3"/>
    </row>
    <row r="21" spans="1:6" x14ac:dyDescent="0.2">
      <c r="A21" s="22" t="s">
        <v>729</v>
      </c>
      <c r="B21" s="3"/>
      <c r="C21" s="3"/>
      <c r="D21" s="3"/>
      <c r="E21" s="3"/>
      <c r="F21" s="3"/>
    </row>
    <row r="23" spans="1:6" x14ac:dyDescent="0.2">
      <c r="A23" s="3" t="s">
        <v>79</v>
      </c>
    </row>
    <row r="25" spans="1:6" x14ac:dyDescent="0.2">
      <c r="A25" s="3" t="s">
        <v>815</v>
      </c>
    </row>
  </sheetData>
  <customSheetViews>
    <customSheetView guid="{B5EA72E7-EF27-46AE-B0E4-CAECE2734832}" showPageBreaks="1" fitToPage="1" printArea="1">
      <selection activeCell="A27" sqref="A27:A28"/>
      <pageMargins left="0.74791666666666701" right="0.74791666666666701" top="0.98402777777777795" bottom="0.98402777777777795" header="0.51180555555555496" footer="0.51180555555555496"/>
      <pageSetup paperSize="9" scale="66" firstPageNumber="0" orientation="portrait" r:id="rId1"/>
    </customSheetView>
    <customSheetView guid="{D7C60D54-F168-4802-9C20-D9E241B3AC75}" showPageBreaks="1" fitToPage="1" printArea="1">
      <selection activeCell="A27" sqref="A27:A28"/>
      <pageMargins left="0.74791666666666701" right="0.74791666666666701" top="0.98402777777777795" bottom="0.98402777777777795" header="0.51180555555555496" footer="0.51180555555555496"/>
      <pageSetup paperSize="9" scale="66" firstPageNumber="0" orientation="portrait" r:id="rId2"/>
    </customSheetView>
    <customSheetView guid="{D4A8130B-E15E-430B-BC62-FA365B34E0AF}" showPageBreaks="1" fitToPage="1" printArea="1">
      <selection activeCell="A27" sqref="A27:A28"/>
      <pageMargins left="0.74791666666666701" right="0.74791666666666701" top="0.98402777777777795" bottom="0.98402777777777795" header="0.51180555555555496" footer="0.51180555555555496"/>
      <pageSetup paperSize="9" scale="66" firstPageNumber="0" orientation="portrait" r:id="rId3"/>
    </customSheetView>
    <customSheetView guid="{EF36F323-8F00-4DED-B12A-4D51E72FA301}" fitToPage="1">
      <pageMargins left="0.74791666666666701" right="0.74791666666666701" top="0.98402777777777795" bottom="0.98402777777777795" header="0.51180555555555496" footer="0.51180555555555496"/>
      <pageSetup paperSize="9" scale="66" firstPageNumber="0" orientation="portrait" r:id="rId4"/>
    </customSheetView>
    <customSheetView guid="{A4014A12-8077-400D-909C-C8C0AE2652D2}" fitToPage="1">
      <selection activeCell="A27" sqref="A27:A28"/>
      <pageMargins left="0.74791666666666701" right="0.74791666666666701" top="0.98402777777777795" bottom="0.98402777777777795" header="0.51180555555555496" footer="0.51180555555555496"/>
      <pageSetup paperSize="9" scale="66" firstPageNumber="0" orientation="portrait" r:id="rId5"/>
    </customSheetView>
    <customSheetView guid="{254CA843-A8D1-434E-AB9C-F327B1D1E748}" showPageBreaks="1" fitToPage="1" printArea="1">
      <selection activeCell="A2" sqref="A2"/>
      <pageMargins left="0.74791666666666701" right="0.74791666666666701" top="0.98402777777777795" bottom="0.98402777777777795" header="0.51180555555555496" footer="0.51180555555555496"/>
      <pageSetup paperSize="9" scale="66" firstPageNumber="0" orientation="portrait" r:id="rId6"/>
    </customSheetView>
  </customSheetViews>
  <pageMargins left="0.74791666666666701" right="0.74791666666666701" top="0.98402777777777795" bottom="0.98402777777777795" header="0.51180555555555496" footer="0.51180555555555496"/>
  <pageSetup paperSize="9" scale="70" firstPageNumber="0" orientation="portrait" r:id="rId7"/>
  <headerFooter>
    <oddFooter>&amp;C&amp;1#&amp;"Calibri"&amp;12&amp;K008000C1 Données Internes</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pageSetUpPr fitToPage="1"/>
  </sheetPr>
  <dimension ref="A1:Z33"/>
  <sheetViews>
    <sheetView zoomScaleNormal="100" workbookViewId="0">
      <selection activeCell="P31" sqref="P31"/>
    </sheetView>
  </sheetViews>
  <sheetFormatPr baseColWidth="10" defaultColWidth="9.08984375" defaultRowHeight="10" x14ac:dyDescent="0.2"/>
  <cols>
    <col min="1" max="1" width="48.54296875" style="3" customWidth="1"/>
    <col min="2" max="2" width="17.453125" style="3" hidden="1" customWidth="1"/>
    <col min="3" max="3" width="2.54296875" style="3" customWidth="1"/>
    <col min="4" max="4" width="13.08984375" style="3" hidden="1" customWidth="1"/>
    <col min="5" max="5" width="2.54296875" style="3" customWidth="1"/>
    <col min="6" max="6" width="13.08984375" style="3" bestFit="1" customWidth="1"/>
    <col min="7" max="7" width="2.54296875" style="3" customWidth="1"/>
    <col min="8" max="8" width="13.54296875" style="3" bestFit="1" customWidth="1"/>
    <col min="9" max="9" width="2.54296875" style="3" customWidth="1"/>
    <col min="10" max="10" width="13.54296875" style="3" customWidth="1"/>
    <col min="11" max="11" width="2.54296875" style="3" customWidth="1"/>
    <col min="12" max="12" width="14.90625" style="3" customWidth="1"/>
    <col min="13" max="13" width="3.08984375" style="3" customWidth="1"/>
    <col min="14" max="14" width="13.54296875" style="3" bestFit="1" customWidth="1"/>
    <col min="15" max="15" width="3.08984375" style="3" customWidth="1"/>
    <col min="16" max="16" width="14.453125" style="3" customWidth="1"/>
    <col min="17" max="17" width="3.08984375" style="3" customWidth="1"/>
    <col min="18" max="18" width="13.08984375" style="3" bestFit="1" customWidth="1"/>
    <col min="19" max="19" width="7" style="3" customWidth="1"/>
    <col min="20" max="20" width="3.08984375" style="3" customWidth="1"/>
    <col min="21" max="21" width="13.08984375" style="3" bestFit="1" customWidth="1"/>
    <col min="22" max="22" width="6.453125" style="3" customWidth="1"/>
    <col min="23" max="23" width="13.08984375" style="3" bestFit="1" customWidth="1"/>
    <col min="24" max="24" width="6.08984375" style="3" customWidth="1"/>
    <col min="25" max="25" width="3.90625" style="3" customWidth="1"/>
    <col min="26" max="26" width="7.453125" style="3" bestFit="1" customWidth="1"/>
    <col min="27" max="16384" width="9.08984375" style="3"/>
  </cols>
  <sheetData>
    <row r="1" spans="1:26" ht="14.9" customHeight="1" x14ac:dyDescent="0.25">
      <c r="A1" s="31" t="s">
        <v>925</v>
      </c>
      <c r="D1" s="62"/>
      <c r="N1" s="170"/>
      <c r="O1" s="170"/>
      <c r="P1" s="170"/>
      <c r="Q1" s="170"/>
    </row>
    <row r="2" spans="1:26" ht="14.9" customHeight="1" x14ac:dyDescent="0.2">
      <c r="A2" s="24" t="s">
        <v>60</v>
      </c>
      <c r="I2" s="2"/>
    </row>
    <row r="3" spans="1:26" ht="14.9" customHeight="1" x14ac:dyDescent="0.25">
      <c r="A3" s="1"/>
      <c r="B3" s="109" t="s">
        <v>727</v>
      </c>
      <c r="D3" s="109" t="s">
        <v>727</v>
      </c>
      <c r="F3" s="45"/>
      <c r="I3" s="2"/>
      <c r="Q3" s="150"/>
      <c r="R3" s="71"/>
      <c r="U3" s="1083"/>
      <c r="V3" s="1083"/>
      <c r="W3" s="1083"/>
      <c r="X3" s="1083"/>
    </row>
    <row r="4" spans="1:26" ht="14.9" customHeight="1" x14ac:dyDescent="0.25">
      <c r="A4" s="12"/>
      <c r="B4" s="212">
        <v>2017</v>
      </c>
      <c r="C4" s="212"/>
      <c r="D4" s="213">
        <v>2018</v>
      </c>
      <c r="E4" s="104"/>
      <c r="F4" s="120">
        <v>2019</v>
      </c>
      <c r="G4" s="13"/>
      <c r="H4" s="120">
        <v>2020</v>
      </c>
      <c r="I4" s="153"/>
      <c r="J4" s="120">
        <v>2021</v>
      </c>
      <c r="K4" s="120"/>
      <c r="L4" s="120">
        <v>2022</v>
      </c>
      <c r="M4" s="253"/>
      <c r="N4" s="679">
        <v>2023</v>
      </c>
      <c r="O4" s="723"/>
      <c r="P4" s="120">
        <v>2023</v>
      </c>
      <c r="Q4" s="726"/>
      <c r="R4" s="1087">
        <v>2024</v>
      </c>
      <c r="S4" s="1087"/>
      <c r="T4" s="723"/>
      <c r="U4" s="1084">
        <v>2025</v>
      </c>
      <c r="V4" s="1084"/>
      <c r="W4" s="1084">
        <v>2026</v>
      </c>
      <c r="X4" s="1084"/>
      <c r="Z4" s="597" t="s">
        <v>826</v>
      </c>
    </row>
    <row r="5" spans="1:26" ht="12.9" customHeight="1" x14ac:dyDescent="0.2">
      <c r="A5" s="14"/>
      <c r="B5" s="214" t="s">
        <v>113</v>
      </c>
      <c r="C5" s="215"/>
      <c r="D5" s="214" t="s">
        <v>113</v>
      </c>
      <c r="E5" s="44"/>
      <c r="F5" s="99" t="s">
        <v>113</v>
      </c>
      <c r="G5" s="25"/>
      <c r="H5" s="99" t="s">
        <v>113</v>
      </c>
      <c r="I5" s="154"/>
      <c r="J5" s="99" t="s">
        <v>113</v>
      </c>
      <c r="K5" s="167"/>
      <c r="L5" s="167" t="s">
        <v>113</v>
      </c>
      <c r="M5" s="244"/>
      <c r="N5" s="680" t="s">
        <v>114</v>
      </c>
      <c r="O5" s="724"/>
      <c r="P5" s="167" t="s">
        <v>113</v>
      </c>
      <c r="Q5" s="724"/>
      <c r="R5" s="1088" t="s">
        <v>113</v>
      </c>
      <c r="S5" s="1089"/>
      <c r="T5" s="724"/>
      <c r="U5" s="1085" t="s">
        <v>114</v>
      </c>
      <c r="V5" s="1086"/>
      <c r="W5" s="1085" t="s">
        <v>114</v>
      </c>
      <c r="X5" s="1086"/>
    </row>
    <row r="6" spans="1:26" ht="12.75" customHeight="1" x14ac:dyDescent="0.2">
      <c r="A6" s="14"/>
      <c r="B6" s="216" t="s">
        <v>12</v>
      </c>
      <c r="C6" s="216"/>
      <c r="D6" s="217" t="s">
        <v>12</v>
      </c>
      <c r="E6" s="15"/>
      <c r="F6" s="100" t="s">
        <v>12</v>
      </c>
      <c r="G6" s="15"/>
      <c r="H6" s="100" t="s">
        <v>12</v>
      </c>
      <c r="I6" s="155"/>
      <c r="J6" s="100" t="s">
        <v>117</v>
      </c>
      <c r="K6" s="168"/>
      <c r="L6" s="361" t="s">
        <v>117</v>
      </c>
      <c r="M6" s="249"/>
      <c r="N6" s="588" t="s">
        <v>117</v>
      </c>
      <c r="O6" s="719"/>
      <c r="P6" s="100" t="s">
        <v>117</v>
      </c>
      <c r="Q6" s="719"/>
      <c r="R6" s="718" t="s">
        <v>117</v>
      </c>
      <c r="S6" s="719" t="s">
        <v>1</v>
      </c>
      <c r="T6" s="719"/>
      <c r="U6" s="366" t="s">
        <v>117</v>
      </c>
      <c r="V6" s="367" t="s">
        <v>1</v>
      </c>
      <c r="W6" s="366" t="s">
        <v>117</v>
      </c>
      <c r="X6" s="367" t="s">
        <v>1</v>
      </c>
    </row>
    <row r="7" spans="1:26" ht="18.75" customHeight="1" x14ac:dyDescent="0.25">
      <c r="A7" s="246" t="s">
        <v>13</v>
      </c>
      <c r="B7" s="218">
        <v>655</v>
      </c>
      <c r="C7" s="218"/>
      <c r="D7" s="219">
        <v>655</v>
      </c>
      <c r="E7" s="16"/>
      <c r="F7" s="17">
        <v>626</v>
      </c>
      <c r="G7" s="16"/>
      <c r="H7" s="71">
        <v>621</v>
      </c>
      <c r="I7" s="118"/>
      <c r="J7" s="71">
        <v>631</v>
      </c>
      <c r="K7" s="169"/>
      <c r="L7" s="362" t="s">
        <v>95</v>
      </c>
      <c r="M7" s="245"/>
      <c r="N7" s="590" t="s">
        <v>95</v>
      </c>
      <c r="O7" s="362"/>
      <c r="P7" s="362"/>
      <c r="Q7" s="362"/>
      <c r="R7" s="720" t="s">
        <v>95</v>
      </c>
      <c r="S7" s="362"/>
      <c r="T7" s="362"/>
      <c r="U7" s="369" t="s">
        <v>95</v>
      </c>
      <c r="V7" s="368"/>
      <c r="W7" s="369" t="s">
        <v>95</v>
      </c>
      <c r="X7" s="368"/>
    </row>
    <row r="8" spans="1:26" ht="12.75" customHeight="1" x14ac:dyDescent="0.25">
      <c r="A8" s="14" t="s">
        <v>904</v>
      </c>
      <c r="B8" s="218">
        <v>177</v>
      </c>
      <c r="C8" s="218"/>
      <c r="D8" s="219" t="s">
        <v>68</v>
      </c>
      <c r="E8" s="16"/>
      <c r="F8" s="17">
        <v>152</v>
      </c>
      <c r="G8" s="16"/>
      <c r="H8" s="71">
        <v>182</v>
      </c>
      <c r="I8" s="118"/>
      <c r="J8" s="71">
        <v>169</v>
      </c>
      <c r="K8" s="169"/>
      <c r="L8" s="739">
        <v>242</v>
      </c>
      <c r="M8" s="727"/>
      <c r="N8" s="589">
        <v>237</v>
      </c>
      <c r="O8" s="731"/>
      <c r="P8" s="731"/>
      <c r="Q8" s="725"/>
      <c r="R8" s="720">
        <v>258</v>
      </c>
      <c r="S8" s="362">
        <f t="shared" ref="S8:S9" si="0">R8/R$14</f>
        <v>0.13543307086614173</v>
      </c>
      <c r="T8" s="362"/>
      <c r="U8" s="369">
        <v>288</v>
      </c>
      <c r="V8" s="368">
        <f t="shared" ref="V8:V9" si="1">U8/U$14</f>
        <v>0.15133998949027852</v>
      </c>
      <c r="W8" s="369">
        <v>283</v>
      </c>
      <c r="X8" s="368">
        <f t="shared" ref="X8:X9" si="2">W8/W$14</f>
        <v>0.13872549019607844</v>
      </c>
      <c r="Z8" s="55">
        <f>U8/R8-1</f>
        <v>0.11627906976744184</v>
      </c>
    </row>
    <row r="9" spans="1:26" ht="12.75" customHeight="1" x14ac:dyDescent="0.25">
      <c r="A9" s="14" t="s">
        <v>905</v>
      </c>
      <c r="B9" s="218">
        <v>135</v>
      </c>
      <c r="C9" s="218"/>
      <c r="D9" s="219">
        <v>131</v>
      </c>
      <c r="E9" s="16"/>
      <c r="F9" s="738">
        <v>925</v>
      </c>
      <c r="G9" s="105"/>
      <c r="H9" s="71">
        <v>535</v>
      </c>
      <c r="I9" s="119"/>
      <c r="J9" s="737">
        <v>717</v>
      </c>
      <c r="K9" s="169"/>
      <c r="L9" s="720">
        <v>586</v>
      </c>
      <c r="M9" s="727"/>
      <c r="N9" s="589">
        <v>597</v>
      </c>
      <c r="O9" s="731"/>
      <c r="P9" s="757">
        <f>315+205+54+34+39+4+6+2+1+9</f>
        <v>669</v>
      </c>
      <c r="Q9" s="725"/>
      <c r="R9" s="727">
        <v>709</v>
      </c>
      <c r="S9" s="362">
        <f t="shared" si="0"/>
        <v>0.37217847769028872</v>
      </c>
      <c r="T9" s="362"/>
      <c r="U9" s="370">
        <v>750</v>
      </c>
      <c r="V9" s="368">
        <f t="shared" si="1"/>
        <v>0.39411455596426692</v>
      </c>
      <c r="W9" s="370">
        <v>823</v>
      </c>
      <c r="X9" s="368">
        <f t="shared" si="2"/>
        <v>0.40343137254901962</v>
      </c>
      <c r="Z9" s="55">
        <f>U9/R9-1</f>
        <v>5.7827926657263662E-2</v>
      </c>
    </row>
    <row r="10" spans="1:26" ht="12.75" customHeight="1" x14ac:dyDescent="0.25">
      <c r="A10" s="3" t="s">
        <v>50</v>
      </c>
      <c r="B10" s="218">
        <v>275</v>
      </c>
      <c r="C10" s="218"/>
      <c r="D10" s="219" t="s">
        <v>69</v>
      </c>
      <c r="E10" s="16"/>
      <c r="F10" s="101">
        <v>0</v>
      </c>
      <c r="G10" s="16"/>
      <c r="H10" s="71">
        <v>0</v>
      </c>
      <c r="I10" s="118"/>
      <c r="J10" s="71" t="s">
        <v>95</v>
      </c>
      <c r="K10" s="169"/>
      <c r="L10" s="362" t="s">
        <v>95</v>
      </c>
      <c r="M10" s="245"/>
      <c r="N10" s="590" t="s">
        <v>95</v>
      </c>
      <c r="O10" s="731"/>
      <c r="P10" s="731"/>
      <c r="Q10" s="731"/>
      <c r="R10" s="720" t="s">
        <v>95</v>
      </c>
      <c r="S10" s="362"/>
      <c r="T10" s="362"/>
      <c r="U10" s="369" t="s">
        <v>95</v>
      </c>
      <c r="V10" s="368"/>
      <c r="W10" s="369" t="s">
        <v>95</v>
      </c>
      <c r="X10" s="368"/>
      <c r="Z10" s="55"/>
    </row>
    <row r="11" spans="1:26" ht="12.75" customHeight="1" x14ac:dyDescent="0.25">
      <c r="A11" s="14" t="s">
        <v>907</v>
      </c>
      <c r="B11" s="218">
        <v>225</v>
      </c>
      <c r="C11" s="218"/>
      <c r="D11" s="219">
        <v>195</v>
      </c>
      <c r="E11" s="16"/>
      <c r="F11" s="738" t="s">
        <v>911</v>
      </c>
      <c r="G11" s="105"/>
      <c r="H11" s="71">
        <v>489</v>
      </c>
      <c r="I11" s="119"/>
      <c r="J11" s="71">
        <v>511</v>
      </c>
      <c r="K11" s="169"/>
      <c r="L11" s="739">
        <v>257</v>
      </c>
      <c r="M11" s="727"/>
      <c r="N11" s="589">
        <v>302</v>
      </c>
      <c r="O11" s="731"/>
      <c r="P11" s="731"/>
      <c r="Q11" s="725"/>
      <c r="R11" s="727">
        <v>218</v>
      </c>
      <c r="S11" s="362">
        <f t="shared" ref="S11:S13" si="3">R11/R$14</f>
        <v>0.11443569553805774</v>
      </c>
      <c r="T11" s="362"/>
      <c r="U11" s="370">
        <v>218</v>
      </c>
      <c r="V11" s="368">
        <f t="shared" ref="V11:V13" si="4">U11/U$14</f>
        <v>0.11455596426694692</v>
      </c>
      <c r="W11" s="370">
        <v>244</v>
      </c>
      <c r="X11" s="368">
        <f t="shared" ref="X11:X13" si="5">W11/W$14</f>
        <v>0.11960784313725491</v>
      </c>
      <c r="Z11" s="55">
        <f>U11/R11-1</f>
        <v>0</v>
      </c>
    </row>
    <row r="12" spans="1:26" ht="12.75" customHeight="1" x14ac:dyDescent="0.25">
      <c r="A12" s="98" t="s">
        <v>14</v>
      </c>
      <c r="B12" s="218">
        <v>11</v>
      </c>
      <c r="C12" s="218"/>
      <c r="D12" s="219" t="s">
        <v>70</v>
      </c>
      <c r="E12" s="16"/>
      <c r="F12" s="17">
        <v>11</v>
      </c>
      <c r="G12" s="16"/>
      <c r="H12" s="150">
        <v>11</v>
      </c>
      <c r="I12" s="156"/>
      <c r="J12" s="71">
        <v>17</v>
      </c>
      <c r="K12" s="169"/>
      <c r="L12" s="732">
        <v>470</v>
      </c>
      <c r="M12" s="728"/>
      <c r="N12" s="589">
        <v>570</v>
      </c>
      <c r="O12" s="731"/>
      <c r="P12" s="731"/>
      <c r="Q12" s="725"/>
      <c r="R12" s="363">
        <f>31+R13</f>
        <v>720</v>
      </c>
      <c r="S12" s="362">
        <f t="shared" si="3"/>
        <v>0.37795275590551181</v>
      </c>
      <c r="T12" s="362"/>
      <c r="U12" s="370">
        <f>33+U13</f>
        <v>647</v>
      </c>
      <c r="V12" s="368">
        <f t="shared" si="4"/>
        <v>0.33998949027850761</v>
      </c>
      <c r="W12" s="370">
        <f>33+W13</f>
        <v>690</v>
      </c>
      <c r="X12" s="368">
        <f t="shared" si="5"/>
        <v>0.33823529411764708</v>
      </c>
      <c r="Z12" s="736">
        <f>U12/R12-1</f>
        <v>-0.10138888888888886</v>
      </c>
    </row>
    <row r="13" spans="1:26" ht="12.75" customHeight="1" x14ac:dyDescent="0.25">
      <c r="A13" s="282" t="s">
        <v>910</v>
      </c>
      <c r="B13" s="220"/>
      <c r="C13" s="220"/>
      <c r="D13" s="221"/>
      <c r="E13" s="103"/>
      <c r="F13" s="117">
        <v>305</v>
      </c>
      <c r="G13" s="103"/>
      <c r="H13" s="71">
        <v>343</v>
      </c>
      <c r="I13" s="157"/>
      <c r="J13" s="71">
        <v>310</v>
      </c>
      <c r="K13" s="169"/>
      <c r="L13" s="364">
        <v>445</v>
      </c>
      <c r="M13" s="729"/>
      <c r="N13" s="734">
        <v>538</v>
      </c>
      <c r="O13" s="732"/>
      <c r="P13" s="732"/>
      <c r="Q13" s="729"/>
      <c r="R13" s="733">
        <v>689</v>
      </c>
      <c r="S13" s="721">
        <f t="shared" si="3"/>
        <v>0.36167979002624673</v>
      </c>
      <c r="T13" s="721"/>
      <c r="U13" s="371">
        <v>614</v>
      </c>
      <c r="V13" s="735">
        <f t="shared" si="4"/>
        <v>0.32264844981607987</v>
      </c>
      <c r="W13" s="371">
        <v>657</v>
      </c>
      <c r="X13" s="735">
        <f t="shared" si="5"/>
        <v>0.32205882352941179</v>
      </c>
      <c r="Z13" s="736">
        <f>U13/R13-1</f>
        <v>-0.10885341074020316</v>
      </c>
    </row>
    <row r="14" spans="1:26" ht="12.75" customHeight="1" x14ac:dyDescent="0.25">
      <c r="A14" s="18" t="s">
        <v>16</v>
      </c>
      <c r="B14" s="222">
        <v>1478</v>
      </c>
      <c r="C14" s="222"/>
      <c r="D14" s="223">
        <v>1594</v>
      </c>
      <c r="E14" s="19"/>
      <c r="F14" s="102">
        <f>SUM(F7:F13)+485</f>
        <v>2504</v>
      </c>
      <c r="G14" s="19"/>
      <c r="H14" s="151">
        <f>SUM(H7:H13)</f>
        <v>2181</v>
      </c>
      <c r="I14" s="158"/>
      <c r="J14" s="151">
        <f>SUM(J7:J13)</f>
        <v>2355</v>
      </c>
      <c r="K14" s="159"/>
      <c r="L14" s="365">
        <f>SUM(L8:L12)</f>
        <v>1555</v>
      </c>
      <c r="M14" s="730"/>
      <c r="N14" s="591">
        <f>SUM(N8:N12)</f>
        <v>1706</v>
      </c>
      <c r="O14" s="722"/>
      <c r="P14" s="722"/>
      <c r="Q14" s="365"/>
      <c r="R14" s="365">
        <f>SUM(R8:R12)</f>
        <v>1905</v>
      </c>
      <c r="S14" s="722">
        <f t="shared" ref="S14" si="6">R14/R$14</f>
        <v>1</v>
      </c>
      <c r="T14" s="722"/>
      <c r="U14" s="372">
        <f>SUM(U8:U12)</f>
        <v>1903</v>
      </c>
      <c r="V14" s="373">
        <f t="shared" ref="V14" si="7">U14/U$14</f>
        <v>1</v>
      </c>
      <c r="W14" s="372">
        <f>SUM(W8:W12)</f>
        <v>2040</v>
      </c>
      <c r="X14" s="373">
        <f t="shared" ref="X14" si="8">W14/W$14</f>
        <v>1</v>
      </c>
      <c r="Z14" s="55">
        <f>U14/R14-1</f>
        <v>-1.0498687664042272E-3</v>
      </c>
    </row>
    <row r="15" spans="1:26" ht="12.75" customHeight="1" x14ac:dyDescent="0.2">
      <c r="I15" s="65"/>
      <c r="K15" s="57"/>
      <c r="L15" s="23"/>
      <c r="M15" s="23"/>
    </row>
    <row r="16" spans="1:26" ht="27.65" customHeight="1" x14ac:dyDescent="0.2">
      <c r="A16" s="1074" t="s">
        <v>909</v>
      </c>
      <c r="B16" s="1074"/>
      <c r="C16" s="1074"/>
      <c r="D16" s="1074"/>
      <c r="E16" s="1074"/>
      <c r="F16" s="1074"/>
      <c r="G16" s="1074"/>
      <c r="H16" s="1074"/>
      <c r="I16" s="1074"/>
      <c r="J16" s="1074"/>
      <c r="K16" s="1074"/>
      <c r="L16" s="1074"/>
      <c r="M16" s="1074"/>
      <c r="N16" s="1074"/>
      <c r="O16" s="1074"/>
      <c r="P16" s="1074"/>
      <c r="Q16" s="1074"/>
      <c r="R16" s="1074"/>
      <c r="S16" s="1074"/>
      <c r="T16" s="1074"/>
      <c r="U16" s="1074"/>
    </row>
    <row r="17" spans="1:21" ht="36" customHeight="1" x14ac:dyDescent="0.2">
      <c r="A17" s="1074" t="s">
        <v>906</v>
      </c>
      <c r="B17" s="1074"/>
      <c r="C17" s="1074"/>
      <c r="D17" s="1074"/>
      <c r="E17" s="1074"/>
      <c r="F17" s="1074"/>
      <c r="G17" s="1074"/>
      <c r="H17" s="1074"/>
      <c r="I17" s="1074"/>
      <c r="J17" s="1074"/>
      <c r="K17" s="1074"/>
      <c r="L17" s="1074"/>
      <c r="M17" s="1074"/>
      <c r="N17" s="1074"/>
      <c r="O17" s="1074"/>
      <c r="P17" s="1074"/>
      <c r="Q17" s="1074"/>
      <c r="R17" s="1074"/>
      <c r="S17" s="1074"/>
      <c r="T17" s="1074"/>
      <c r="U17" s="1074"/>
    </row>
    <row r="18" spans="1:21" ht="14.4" customHeight="1" x14ac:dyDescent="0.2">
      <c r="A18" s="1074" t="s">
        <v>908</v>
      </c>
      <c r="B18" s="1074"/>
      <c r="C18" s="1074"/>
      <c r="D18" s="1074"/>
      <c r="E18" s="1074"/>
      <c r="F18" s="1074"/>
      <c r="G18" s="1074"/>
      <c r="H18" s="1074"/>
      <c r="I18" s="1074"/>
      <c r="J18" s="1074"/>
      <c r="K18" s="1074"/>
      <c r="L18" s="1074"/>
      <c r="M18" s="1074"/>
      <c r="N18" s="1074"/>
      <c r="O18" s="1074"/>
      <c r="P18" s="1074"/>
      <c r="Q18" s="1074"/>
      <c r="R18" s="1074"/>
      <c r="S18" s="1074"/>
      <c r="T18" s="1074"/>
      <c r="U18" s="1074"/>
    </row>
    <row r="19" spans="1:21" ht="34.65" customHeight="1" x14ac:dyDescent="0.2">
      <c r="A19" s="1074" t="s">
        <v>923</v>
      </c>
      <c r="B19" s="1074"/>
      <c r="C19" s="1074"/>
      <c r="D19" s="1074"/>
      <c r="E19" s="1074"/>
      <c r="F19" s="1074"/>
      <c r="G19" s="1074"/>
      <c r="H19" s="1074"/>
      <c r="I19" s="1074"/>
      <c r="J19" s="1074"/>
      <c r="K19" s="1074"/>
      <c r="L19" s="1074"/>
      <c r="M19" s="1074"/>
      <c r="N19" s="1074"/>
      <c r="O19" s="1074"/>
      <c r="P19" s="1074"/>
      <c r="Q19" s="1074"/>
      <c r="R19" s="1074"/>
      <c r="S19" s="1074"/>
      <c r="T19" s="1074"/>
      <c r="U19" s="1074"/>
    </row>
    <row r="20" spans="1:21" ht="10.4" customHeight="1" x14ac:dyDescent="0.2">
      <c r="A20" s="52"/>
      <c r="B20" s="52"/>
      <c r="C20" s="52"/>
      <c r="D20" s="52"/>
      <c r="E20" s="52"/>
      <c r="F20" s="52"/>
      <c r="G20" s="52"/>
      <c r="H20" s="149"/>
      <c r="I20" s="52"/>
    </row>
    <row r="21" spans="1:21" ht="20.149999999999999" customHeight="1" x14ac:dyDescent="0.2">
      <c r="A21" s="1074" t="s">
        <v>903</v>
      </c>
      <c r="B21" s="1074"/>
      <c r="C21" s="1074"/>
      <c r="D21" s="1074"/>
      <c r="E21" s="1074"/>
      <c r="F21" s="1074"/>
      <c r="G21" s="1074"/>
      <c r="H21" s="1074"/>
      <c r="I21" s="1074"/>
      <c r="J21" s="1074"/>
      <c r="K21" s="1074"/>
      <c r="L21" s="1074"/>
      <c r="M21" s="1074"/>
      <c r="N21" s="1074"/>
      <c r="O21" s="1074"/>
      <c r="P21" s="1074"/>
      <c r="Q21" s="1074"/>
      <c r="R21" s="1074"/>
      <c r="S21" s="1074"/>
      <c r="T21" s="1074"/>
      <c r="U21" s="1074"/>
    </row>
    <row r="22" spans="1:21" x14ac:dyDescent="0.2">
      <c r="A22" s="70"/>
      <c r="B22" s="69"/>
      <c r="C22" s="69"/>
      <c r="D22" s="69"/>
      <c r="E22" s="69"/>
      <c r="F22" s="69"/>
      <c r="G22" s="69"/>
      <c r="H22" s="149"/>
      <c r="I22" s="69"/>
      <c r="R22" s="65"/>
      <c r="T22" s="65"/>
    </row>
    <row r="23" spans="1:21" x14ac:dyDescent="0.2">
      <c r="A23" s="3" t="s">
        <v>829</v>
      </c>
      <c r="R23" s="65"/>
      <c r="T23" s="65"/>
    </row>
    <row r="24" spans="1:21" x14ac:dyDescent="0.2">
      <c r="F24" s="42"/>
      <c r="G24" s="16"/>
      <c r="H24" s="17"/>
      <c r="I24" s="118"/>
      <c r="J24" s="42"/>
      <c r="K24" s="115"/>
      <c r="R24" s="65"/>
      <c r="T24" s="65"/>
    </row>
    <row r="25" spans="1:21" ht="12.5" x14ac:dyDescent="0.25">
      <c r="A25"/>
      <c r="D25" s="35"/>
      <c r="F25" s="42"/>
      <c r="G25" s="16"/>
      <c r="H25" s="17"/>
      <c r="I25" s="118"/>
      <c r="J25" s="42"/>
      <c r="K25" s="115"/>
      <c r="R25" s="65"/>
      <c r="T25" s="65"/>
    </row>
    <row r="26" spans="1:21" ht="12.5" x14ac:dyDescent="0.25">
      <c r="A26"/>
      <c r="D26"/>
      <c r="F26" s="105"/>
      <c r="G26" s="105"/>
      <c r="H26" s="17"/>
      <c r="I26" s="119"/>
      <c r="J26" s="105"/>
      <c r="K26" s="115"/>
      <c r="R26" s="65"/>
      <c r="T26" s="65"/>
    </row>
    <row r="27" spans="1:21" ht="12.5" x14ac:dyDescent="0.25">
      <c r="A27"/>
      <c r="D27"/>
      <c r="F27" s="51"/>
      <c r="G27" s="16"/>
      <c r="H27" s="101"/>
      <c r="I27" s="118"/>
      <c r="J27" s="51"/>
      <c r="K27" s="115"/>
      <c r="R27" s="65"/>
      <c r="T27" s="65"/>
    </row>
    <row r="28" spans="1:21" ht="12.5" x14ac:dyDescent="0.25">
      <c r="A28"/>
      <c r="D28"/>
      <c r="F28" s="105"/>
      <c r="G28" s="105"/>
      <c r="H28" s="17"/>
      <c r="I28" s="119"/>
      <c r="J28" s="105"/>
      <c r="K28" s="115"/>
      <c r="R28" s="65"/>
      <c r="T28" s="65"/>
    </row>
    <row r="29" spans="1:21" ht="14.5" x14ac:dyDescent="0.35">
      <c r="A29" s="34"/>
      <c r="D29" s="34"/>
      <c r="F29" s="42"/>
      <c r="G29" s="16"/>
      <c r="H29" s="17"/>
      <c r="I29" s="118"/>
      <c r="J29" s="42"/>
      <c r="K29" s="115"/>
      <c r="R29" s="65"/>
      <c r="T29" s="65"/>
    </row>
    <row r="30" spans="1:21" ht="12.5" x14ac:dyDescent="0.25">
      <c r="A30"/>
      <c r="D30"/>
      <c r="F30" s="42"/>
      <c r="G30" s="16"/>
      <c r="H30" s="17"/>
      <c r="I30" s="118"/>
      <c r="J30" s="42"/>
      <c r="K30" s="115"/>
      <c r="R30" s="65"/>
      <c r="T30" s="65"/>
    </row>
    <row r="31" spans="1:21" ht="12.5" x14ac:dyDescent="0.25">
      <c r="A31"/>
      <c r="D31"/>
      <c r="F31" s="116"/>
      <c r="G31" s="171"/>
      <c r="H31" s="172"/>
      <c r="I31" s="173"/>
      <c r="J31" s="116"/>
      <c r="K31" s="115"/>
    </row>
    <row r="32" spans="1:21" x14ac:dyDescent="0.2">
      <c r="F32" s="23"/>
      <c r="H32" s="23"/>
      <c r="J32" s="23"/>
    </row>
    <row r="33" spans="1:8" ht="14.5" x14ac:dyDescent="0.35">
      <c r="A33" s="34"/>
      <c r="D33" s="43"/>
      <c r="H33" s="152"/>
    </row>
  </sheetData>
  <customSheetViews>
    <customSheetView guid="{B5EA72E7-EF27-46AE-B0E4-CAECE2734832}" showPageBreaks="1" fitToPage="1" printArea="1">
      <selection activeCell="A23" sqref="A23"/>
      <pageMargins left="0.74791666666666701" right="0.74791666666666701" top="0.98402777777777795" bottom="0.98402777777777795" header="0.51180555555555496" footer="0.51180555555555496"/>
      <pageSetup paperSize="9" scale="56" firstPageNumber="0" orientation="portrait" r:id="rId1"/>
    </customSheetView>
    <customSheetView guid="{D7C60D54-F168-4802-9C20-D9E241B3AC75}" showPageBreaks="1" fitToPage="1" printArea="1">
      <selection activeCell="A23" sqref="A23"/>
      <pageMargins left="0.74791666666666701" right="0.74791666666666701" top="0.98402777777777795" bottom="0.98402777777777795" header="0.51180555555555496" footer="0.51180555555555496"/>
      <pageSetup paperSize="9" scale="53" firstPageNumber="0" orientation="portrait" r:id="rId2"/>
    </customSheetView>
    <customSheetView guid="{D4A8130B-E15E-430B-BC62-FA365B34E0AF}" showPageBreaks="1" fitToPage="1" printArea="1">
      <selection activeCell="I11" sqref="I11"/>
      <pageMargins left="0.74791666666666701" right="0.74791666666666701" top="0.98402777777777795" bottom="0.98402777777777795" header="0.51180555555555496" footer="0.51180555555555496"/>
      <pageSetup paperSize="9" scale="26" firstPageNumber="0" orientation="portrait" r:id="rId3"/>
    </customSheetView>
    <customSheetView guid="{EF36F323-8F00-4DED-B12A-4D51E72FA301}" fitToPage="1">
      <pageMargins left="0.74791666666666701" right="0.74791666666666701" top="0.98402777777777795" bottom="0.98402777777777795" header="0.51180555555555496" footer="0.51180555555555496"/>
      <pageSetup paperSize="9" scale="26" firstPageNumber="0" orientation="portrait" r:id="rId4"/>
    </customSheetView>
    <customSheetView guid="{A4014A12-8077-400D-909C-C8C0AE2652D2}" fitToPage="1">
      <selection activeCell="A2" sqref="A2"/>
      <pageMargins left="0.74791666666666701" right="0.74791666666666701" top="0.98402777777777795" bottom="0.98402777777777795" header="0.51180555555555496" footer="0.51180555555555496"/>
      <pageSetup paperSize="9" scale="41" firstPageNumber="0" orientation="portrait" r:id="rId5"/>
    </customSheetView>
    <customSheetView guid="{254CA843-A8D1-434E-AB9C-F327B1D1E748}" showPageBreaks="1" fitToPage="1" printArea="1">
      <pageMargins left="0.74791666666666701" right="0.74791666666666701" top="0.98402777777777795" bottom="0.98402777777777795" header="0.51180555555555496" footer="0.51180555555555496"/>
      <pageSetup paperSize="9" scale="26" firstPageNumber="0" orientation="portrait" r:id="rId6"/>
    </customSheetView>
  </customSheetViews>
  <mergeCells count="12">
    <mergeCell ref="A19:U19"/>
    <mergeCell ref="A21:U21"/>
    <mergeCell ref="U3:X3"/>
    <mergeCell ref="A16:U16"/>
    <mergeCell ref="A17:U17"/>
    <mergeCell ref="A18:U18"/>
    <mergeCell ref="U4:V4"/>
    <mergeCell ref="U5:V5"/>
    <mergeCell ref="W4:X4"/>
    <mergeCell ref="W5:X5"/>
    <mergeCell ref="R4:S4"/>
    <mergeCell ref="R5:S5"/>
  </mergeCells>
  <pageMargins left="0.74791666666666701" right="0.74791666666666701" top="0.98402777777777795" bottom="0.98402777777777795" header="0.51180555555555496" footer="0.51180555555555496"/>
  <pageSetup paperSize="9" scale="89" firstPageNumber="0" orientation="portrait" r:id="rId7"/>
  <headerFooter>
    <oddFooter>&amp;C&amp;1#&amp;"Calibri"&amp;12&amp;K008000C1 Données Internes</oddFooter>
  </headerFooter>
  <legacyDrawing r:id="rId8"/>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pageSetUpPr fitToPage="1"/>
  </sheetPr>
  <dimension ref="A1:AF87"/>
  <sheetViews>
    <sheetView zoomScaleNormal="100" workbookViewId="0">
      <pane xSplit="1" ySplit="6" topLeftCell="B7" activePane="bottomRight" state="frozen"/>
      <selection pane="topRight" activeCell="B1" sqref="B1"/>
      <selection pane="bottomLeft" activeCell="A7" sqref="A7"/>
      <selection pane="bottomRight" activeCell="A33" sqref="A33"/>
    </sheetView>
  </sheetViews>
  <sheetFormatPr baseColWidth="10" defaultColWidth="9.08984375" defaultRowHeight="10" x14ac:dyDescent="0.2"/>
  <cols>
    <col min="1" max="1" width="81.90625" style="5" customWidth="1"/>
    <col min="2" max="2" width="12.54296875" style="5" hidden="1" customWidth="1"/>
    <col min="3" max="3" width="0" style="3" hidden="1" customWidth="1"/>
    <col min="4" max="5" width="12.453125" style="795" customWidth="1"/>
    <col min="6" max="6" width="11.54296875" style="795" hidden="1" customWidth="1"/>
    <col min="7" max="7" width="11.54296875" style="795" customWidth="1"/>
    <col min="8" max="8" width="11.453125" style="795" customWidth="1"/>
    <col min="9" max="10" width="9.54296875" style="795" customWidth="1"/>
    <col min="11" max="11" width="11.453125" style="795" customWidth="1"/>
    <col min="12" max="12" width="10.453125" style="3" customWidth="1"/>
    <col min="13" max="13" width="10.54296875" style="3" customWidth="1"/>
    <col min="14" max="14" width="10.54296875" style="3" hidden="1" customWidth="1"/>
    <col min="15" max="15" width="9.453125" style="3" customWidth="1"/>
    <col min="16" max="16" width="10" style="3" customWidth="1"/>
    <col min="17" max="17" width="10.08984375" style="3" customWidth="1"/>
    <col min="18" max="18" width="9.54296875" style="3" customWidth="1"/>
    <col min="19" max="19" width="9.90625" style="3" customWidth="1"/>
    <col min="20" max="20" width="9.08984375" style="3"/>
    <col min="21" max="21" width="5.453125" style="3" bestFit="1" customWidth="1"/>
    <col min="22" max="22" width="6.08984375" style="3" bestFit="1" customWidth="1"/>
    <col min="23" max="16384" width="9.08984375" style="3"/>
  </cols>
  <sheetData>
    <row r="1" spans="1:15" ht="12" customHeight="1" x14ac:dyDescent="0.2">
      <c r="A1" s="80" t="s">
        <v>857</v>
      </c>
      <c r="B1" s="86"/>
      <c r="I1" s="996"/>
      <c r="J1" s="996"/>
    </row>
    <row r="2" spans="1:15" ht="14.15" customHeight="1" x14ac:dyDescent="0.2">
      <c r="A2" s="5" t="s">
        <v>108</v>
      </c>
      <c r="B2" s="11"/>
      <c r="C2" s="9"/>
      <c r="I2" s="997"/>
      <c r="J2" s="997"/>
    </row>
    <row r="3" spans="1:15" ht="12" customHeight="1" x14ac:dyDescent="0.2">
      <c r="B3" s="11"/>
      <c r="C3" s="9"/>
      <c r="I3" s="997"/>
      <c r="J3" s="997"/>
      <c r="O3" s="81" t="s">
        <v>7</v>
      </c>
    </row>
    <row r="4" spans="1:15" ht="12" customHeight="1" x14ac:dyDescent="0.25">
      <c r="A4" s="81"/>
      <c r="B4" s="250" t="s">
        <v>727</v>
      </c>
      <c r="C4" s="251" t="s">
        <v>727</v>
      </c>
    </row>
    <row r="5" spans="1:15" ht="10.5" x14ac:dyDescent="0.25">
      <c r="A5" s="82"/>
      <c r="B5" s="224">
        <v>2017</v>
      </c>
      <c r="C5" s="225">
        <v>2018</v>
      </c>
      <c r="D5" s="937">
        <v>2019</v>
      </c>
      <c r="E5" s="998">
        <v>2020</v>
      </c>
      <c r="F5" s="999">
        <v>2021</v>
      </c>
      <c r="G5" s="998">
        <v>2021</v>
      </c>
      <c r="H5" s="937">
        <v>2022</v>
      </c>
      <c r="I5" s="1000">
        <v>2023</v>
      </c>
      <c r="J5" s="937">
        <v>2023</v>
      </c>
      <c r="K5" s="1000">
        <v>2024</v>
      </c>
      <c r="L5" s="486">
        <v>2024</v>
      </c>
      <c r="M5" s="375">
        <v>2025</v>
      </c>
      <c r="N5" s="486">
        <v>2025</v>
      </c>
      <c r="O5" s="376">
        <v>2026</v>
      </c>
    </row>
    <row r="6" spans="1:15" ht="21" x14ac:dyDescent="0.2">
      <c r="A6" s="403" t="s">
        <v>136</v>
      </c>
      <c r="B6" s="226" t="s">
        <v>118</v>
      </c>
      <c r="C6" s="226" t="s">
        <v>118</v>
      </c>
      <c r="D6" s="1001" t="s">
        <v>118</v>
      </c>
      <c r="E6" s="1002" t="s">
        <v>120</v>
      </c>
      <c r="F6" s="1003" t="s">
        <v>51</v>
      </c>
      <c r="G6" s="1002" t="s">
        <v>58</v>
      </c>
      <c r="H6" s="1001" t="s">
        <v>58</v>
      </c>
      <c r="I6" s="1001" t="s">
        <v>119</v>
      </c>
      <c r="J6" s="1001" t="s">
        <v>58</v>
      </c>
      <c r="K6" s="1001" t="s">
        <v>137</v>
      </c>
      <c r="L6" s="7" t="s">
        <v>58</v>
      </c>
      <c r="M6" s="377" t="s">
        <v>119</v>
      </c>
      <c r="N6" s="7" t="s">
        <v>58</v>
      </c>
      <c r="O6" s="378" t="s">
        <v>137</v>
      </c>
    </row>
    <row r="7" spans="1:15" ht="7.4" customHeight="1" x14ac:dyDescent="0.2">
      <c r="A7" s="402"/>
      <c r="B7" s="227"/>
      <c r="C7" s="228"/>
      <c r="D7" s="1004"/>
      <c r="E7" s="917"/>
      <c r="F7" s="1005"/>
      <c r="G7" s="917"/>
      <c r="H7" s="1006"/>
      <c r="I7" s="1006"/>
      <c r="J7" s="1006"/>
      <c r="L7" s="534"/>
      <c r="M7" s="379"/>
      <c r="N7" s="534"/>
      <c r="O7" s="350"/>
    </row>
    <row r="8" spans="1:15" ht="14.9" customHeight="1" x14ac:dyDescent="0.25">
      <c r="A8" s="387" t="s">
        <v>961</v>
      </c>
      <c r="B8" s="388">
        <v>3930.56</v>
      </c>
      <c r="C8" s="388">
        <v>3894.62</v>
      </c>
      <c r="D8" s="1007">
        <v>3859.62</v>
      </c>
      <c r="E8" s="1008">
        <v>3789.02</v>
      </c>
      <c r="F8" s="1009">
        <v>3719.02</v>
      </c>
      <c r="G8" s="1008">
        <f>SUM(G9:G14)</f>
        <v>3719.0202690000001</v>
      </c>
      <c r="H8" s="1007">
        <f>SUM(H9:H14)</f>
        <v>3685.0037230000003</v>
      </c>
      <c r="I8" s="1007">
        <v>3815.7136099999998</v>
      </c>
      <c r="J8" s="1007">
        <f>SUM(J9:J14)</f>
        <v>0</v>
      </c>
      <c r="K8" s="1008">
        <f>SUM(K9:K15)</f>
        <v>4025.2283949999996</v>
      </c>
      <c r="L8" s="389">
        <f>SUM(L9:L14)</f>
        <v>3957.1</v>
      </c>
      <c r="M8" s="390">
        <f>SUM(M9:M14)</f>
        <v>3949.1</v>
      </c>
      <c r="N8" s="389">
        <f>SUM(N9:N14)</f>
        <v>0</v>
      </c>
      <c r="O8" s="391">
        <f>SUM(O9:O15)</f>
        <v>3878.2999999999997</v>
      </c>
    </row>
    <row r="9" spans="1:15" ht="14.9" customHeight="1" x14ac:dyDescent="0.2">
      <c r="A9" s="83" t="s">
        <v>52</v>
      </c>
      <c r="B9" s="231">
        <v>2597.75</v>
      </c>
      <c r="C9" s="232">
        <v>2567.91</v>
      </c>
      <c r="D9" s="1010">
        <v>2543.12</v>
      </c>
      <c r="E9" s="1011">
        <v>2481.9</v>
      </c>
      <c r="F9" s="1012">
        <v>2421.1</v>
      </c>
      <c r="G9" s="1011">
        <v>2421.053594</v>
      </c>
      <c r="H9" s="971">
        <v>2386.1769250000002</v>
      </c>
      <c r="I9" s="1013">
        <v>2430.5135169999999</v>
      </c>
      <c r="J9" s="971"/>
      <c r="K9" s="971">
        <v>2523.1068679999998</v>
      </c>
      <c r="L9" s="23">
        <v>2523.1</v>
      </c>
      <c r="M9" s="380">
        <v>2505.8000000000002</v>
      </c>
      <c r="N9" s="23"/>
      <c r="O9" s="343">
        <v>2440.6</v>
      </c>
    </row>
    <row r="10" spans="1:15" ht="14.9" customHeight="1" x14ac:dyDescent="0.2">
      <c r="A10" s="83" t="s">
        <v>57</v>
      </c>
      <c r="B10" s="231">
        <v>625.11</v>
      </c>
      <c r="C10" s="232">
        <v>608.79</v>
      </c>
      <c r="D10" s="1010">
        <v>604.71</v>
      </c>
      <c r="E10" s="1011">
        <v>599.6</v>
      </c>
      <c r="F10" s="1012">
        <v>591.4</v>
      </c>
      <c r="G10" s="1011">
        <v>591.43466999999998</v>
      </c>
      <c r="H10" s="971">
        <v>583.74570800000004</v>
      </c>
      <c r="I10" s="1013">
        <v>623.40603799999997</v>
      </c>
      <c r="J10" s="971"/>
      <c r="K10" s="971">
        <v>652.95439999999996</v>
      </c>
      <c r="L10" s="23">
        <v>653</v>
      </c>
      <c r="M10" s="380">
        <v>652.1</v>
      </c>
      <c r="N10" s="23"/>
      <c r="O10" s="343">
        <v>648</v>
      </c>
    </row>
    <row r="11" spans="1:15" ht="14.9" customHeight="1" x14ac:dyDescent="0.2">
      <c r="A11" s="83" t="s">
        <v>53</v>
      </c>
      <c r="B11" s="231">
        <v>280.01</v>
      </c>
      <c r="C11" s="232">
        <v>285.37</v>
      </c>
      <c r="D11" s="1010">
        <v>283.33</v>
      </c>
      <c r="E11" s="1011">
        <v>281.10000000000002</v>
      </c>
      <c r="F11" s="1012">
        <v>279</v>
      </c>
      <c r="G11" s="1011">
        <v>279.04706299999998</v>
      </c>
      <c r="H11" s="971">
        <v>284.13266099999998</v>
      </c>
      <c r="I11" s="1013">
        <v>303.46437700000001</v>
      </c>
      <c r="J11" s="971"/>
      <c r="K11" s="971">
        <v>293.60235299999999</v>
      </c>
      <c r="L11" s="23">
        <v>293.5</v>
      </c>
      <c r="M11" s="380">
        <v>298.10000000000002</v>
      </c>
      <c r="N11" s="23"/>
      <c r="O11" s="343">
        <v>298.10000000000002</v>
      </c>
    </row>
    <row r="12" spans="1:15" ht="14.9" customHeight="1" x14ac:dyDescent="0.2">
      <c r="A12" s="83" t="s">
        <v>54</v>
      </c>
      <c r="B12" s="231">
        <v>256.81</v>
      </c>
      <c r="C12" s="232">
        <v>263.16000000000003</v>
      </c>
      <c r="D12" s="1010">
        <v>261.52999999999997</v>
      </c>
      <c r="E12" s="1011">
        <v>260.5</v>
      </c>
      <c r="F12" s="1012">
        <v>260</v>
      </c>
      <c r="G12" s="1011">
        <v>259.99775</v>
      </c>
      <c r="H12" s="971">
        <v>264.17162300000001</v>
      </c>
      <c r="I12" s="1013">
        <v>284.734306</v>
      </c>
      <c r="J12" s="971"/>
      <c r="K12" s="971">
        <v>299.2022</v>
      </c>
      <c r="L12" s="23">
        <v>299.60000000000002</v>
      </c>
      <c r="M12" s="380">
        <v>303.89999999999998</v>
      </c>
      <c r="N12" s="23"/>
      <c r="O12" s="343">
        <v>303.89999999999998</v>
      </c>
    </row>
    <row r="13" spans="1:15" ht="14.9" customHeight="1" x14ac:dyDescent="0.2">
      <c r="A13" s="83" t="s">
        <v>55</v>
      </c>
      <c r="B13" s="231">
        <v>90.87</v>
      </c>
      <c r="C13" s="232">
        <v>90.41</v>
      </c>
      <c r="D13" s="1010">
        <v>89.19</v>
      </c>
      <c r="E13" s="1011">
        <v>88.2</v>
      </c>
      <c r="F13" s="1012">
        <v>89.7</v>
      </c>
      <c r="G13" s="1011">
        <v>89.738041999999993</v>
      </c>
      <c r="H13" s="971">
        <v>89.668983999999995</v>
      </c>
      <c r="I13" s="1013">
        <v>93.629039000000006</v>
      </c>
      <c r="J13" s="971"/>
      <c r="K13" s="971">
        <v>103.913354</v>
      </c>
      <c r="L13" s="23">
        <v>104.1</v>
      </c>
      <c r="M13" s="380">
        <v>105</v>
      </c>
      <c r="N13" s="23"/>
      <c r="O13" s="343">
        <v>103.5</v>
      </c>
    </row>
    <row r="14" spans="1:15" ht="14.9" customHeight="1" x14ac:dyDescent="0.2">
      <c r="A14" s="83" t="s">
        <v>56</v>
      </c>
      <c r="B14" s="231">
        <v>80.010000000000005</v>
      </c>
      <c r="C14" s="232">
        <v>78.97</v>
      </c>
      <c r="D14" s="1010">
        <v>77.75</v>
      </c>
      <c r="E14" s="1011">
        <v>77.7</v>
      </c>
      <c r="F14" s="1012">
        <v>77.7</v>
      </c>
      <c r="G14" s="1011">
        <v>77.74915</v>
      </c>
      <c r="H14" s="971">
        <v>77.107821999999999</v>
      </c>
      <c r="I14" s="1013">
        <v>79.966333000000006</v>
      </c>
      <c r="J14" s="971"/>
      <c r="K14" s="971">
        <v>83.449219999999997</v>
      </c>
      <c r="L14" s="23">
        <v>83.8</v>
      </c>
      <c r="M14" s="380">
        <v>84.2</v>
      </c>
      <c r="N14" s="23"/>
      <c r="O14" s="343">
        <v>84.2</v>
      </c>
    </row>
    <row r="15" spans="1:15" ht="14.9" customHeight="1" x14ac:dyDescent="0.25">
      <c r="A15" s="384" t="s">
        <v>709</v>
      </c>
      <c r="B15" s="229"/>
      <c r="C15" s="230"/>
      <c r="D15" s="971"/>
      <c r="E15" s="1014"/>
      <c r="F15" s="1015"/>
      <c r="G15" s="1014"/>
      <c r="H15" s="1016"/>
      <c r="J15" s="1016"/>
      <c r="K15" s="971">
        <v>69</v>
      </c>
      <c r="L15" s="23">
        <v>19</v>
      </c>
      <c r="M15" s="355"/>
      <c r="N15" s="23"/>
      <c r="O15" s="343"/>
    </row>
    <row r="16" spans="1:15" ht="6.65" customHeight="1" x14ac:dyDescent="0.25">
      <c r="A16" s="10"/>
      <c r="B16" s="229"/>
      <c r="C16" s="230"/>
      <c r="D16" s="971"/>
      <c r="E16" s="1014"/>
      <c r="F16" s="1015"/>
      <c r="G16" s="1014"/>
      <c r="H16" s="1016"/>
      <c r="J16" s="1016"/>
      <c r="K16" s="971"/>
      <c r="L16" s="374"/>
      <c r="M16" s="355"/>
      <c r="N16" s="374"/>
      <c r="O16" s="343"/>
    </row>
    <row r="17" spans="1:15" ht="14.9" customHeight="1" x14ac:dyDescent="0.25">
      <c r="A17" s="387" t="s">
        <v>17</v>
      </c>
      <c r="B17" s="392">
        <v>752.85</v>
      </c>
      <c r="C17" s="392">
        <v>748.9</v>
      </c>
      <c r="D17" s="1007">
        <f>D19+D31+D33</f>
        <v>728.82</v>
      </c>
      <c r="E17" s="1008">
        <f>E19+E31+E33</f>
        <v>611.57000000000005</v>
      </c>
      <c r="F17" s="1009">
        <f>F19+F31+F33</f>
        <v>713.70999999999992</v>
      </c>
      <c r="G17" s="1008">
        <f>G19+G31+G33</f>
        <v>646.01999999999987</v>
      </c>
      <c r="H17" s="1007">
        <f>H19+H31+H33</f>
        <v>736.23290499999985</v>
      </c>
      <c r="I17" s="1007">
        <f t="shared" ref="I17:K17" si="0">I19+I31+I33</f>
        <v>733.56600000000003</v>
      </c>
      <c r="J17" s="1007">
        <f>J19+J31+J33</f>
        <v>0</v>
      </c>
      <c r="K17" s="1007">
        <f t="shared" si="0"/>
        <v>784.78000000000009</v>
      </c>
      <c r="L17" s="389">
        <f>L19+L31+L33</f>
        <v>877.40000000000009</v>
      </c>
      <c r="M17" s="390">
        <f t="shared" ref="M17:O17" si="1">M19+M31+M33</f>
        <v>940.5</v>
      </c>
      <c r="N17" s="389">
        <f>N19+N31+N33</f>
        <v>0</v>
      </c>
      <c r="O17" s="391">
        <f t="shared" si="1"/>
        <v>914.68</v>
      </c>
    </row>
    <row r="18" spans="1:15" ht="14.9" customHeight="1" x14ac:dyDescent="0.2">
      <c r="A18" s="10" t="s">
        <v>786</v>
      </c>
      <c r="B18" s="233"/>
      <c r="C18" s="234"/>
      <c r="D18" s="971"/>
      <c r="E18" s="1011"/>
      <c r="F18" s="1012"/>
      <c r="G18" s="1011"/>
      <c r="H18" s="971"/>
      <c r="I18" s="1017"/>
      <c r="J18" s="971"/>
      <c r="L18" s="23"/>
      <c r="M18" s="381"/>
      <c r="N18" s="23"/>
      <c r="O18" s="350"/>
    </row>
    <row r="19" spans="1:15" ht="14.9" customHeight="1" x14ac:dyDescent="0.25">
      <c r="A19" s="393" t="s">
        <v>782</v>
      </c>
      <c r="B19" s="394">
        <v>685</v>
      </c>
      <c r="C19" s="394">
        <v>675.29</v>
      </c>
      <c r="D19" s="1018">
        <f t="shared" ref="D19" si="2">SUM(D20:D24)</f>
        <v>690.2</v>
      </c>
      <c r="E19" s="1019">
        <f>SUM(E20:E24)</f>
        <v>597.88</v>
      </c>
      <c r="F19" s="1020">
        <f>SUM(F20:F24)</f>
        <v>705.59999999999991</v>
      </c>
      <c r="G19" s="1019">
        <v>630.79999999999995</v>
      </c>
      <c r="H19" s="1018">
        <f t="shared" ref="H19:O19" si="3">SUM(H20:H23)</f>
        <v>721.01290499999993</v>
      </c>
      <c r="I19" s="1018">
        <f t="shared" si="3"/>
        <v>722.76599999999996</v>
      </c>
      <c r="J19" s="1018">
        <f t="shared" si="3"/>
        <v>0</v>
      </c>
      <c r="K19" s="1018">
        <f t="shared" si="3"/>
        <v>755.78000000000009</v>
      </c>
      <c r="L19" s="395">
        <f t="shared" si="3"/>
        <v>820.00000000000011</v>
      </c>
      <c r="M19" s="396">
        <f t="shared" si="3"/>
        <v>875.19999999999993</v>
      </c>
      <c r="N19" s="395">
        <f t="shared" si="3"/>
        <v>0</v>
      </c>
      <c r="O19" s="397">
        <f t="shared" si="3"/>
        <v>846.4</v>
      </c>
    </row>
    <row r="20" spans="1:15" ht="14.9" customHeight="1" x14ac:dyDescent="0.2">
      <c r="A20" s="83" t="s">
        <v>859</v>
      </c>
      <c r="B20" s="231">
        <v>511</v>
      </c>
      <c r="C20" s="231">
        <v>498.8</v>
      </c>
      <c r="D20" s="1021">
        <v>492.4</v>
      </c>
      <c r="E20" s="1011">
        <v>456.9</v>
      </c>
      <c r="F20" s="1012">
        <v>468.9</v>
      </c>
      <c r="G20" s="1022">
        <v>457.43900000000002</v>
      </c>
      <c r="H20" s="971">
        <f>292.21179+176.879668</f>
        <v>469.09145799999999</v>
      </c>
      <c r="I20" s="965">
        <f>245.27+201.601</f>
        <v>446.87099999999998</v>
      </c>
      <c r="J20" s="971"/>
      <c r="K20" s="1023">
        <f>257.3+203.78</f>
        <v>461.08000000000004</v>
      </c>
      <c r="L20" s="23">
        <f>261.4+231.3+37.8</f>
        <v>530.5</v>
      </c>
      <c r="M20" s="382">
        <f>281.1+259.7+41.1</f>
        <v>581.9</v>
      </c>
      <c r="N20" s="23"/>
      <c r="O20" s="383">
        <f>241.5+251.9+43.1</f>
        <v>536.5</v>
      </c>
    </row>
    <row r="21" spans="1:15" ht="14.9" customHeight="1" x14ac:dyDescent="0.2">
      <c r="A21" s="83" t="s">
        <v>856</v>
      </c>
      <c r="B21" s="231">
        <v>148</v>
      </c>
      <c r="C21" s="231">
        <v>143.5</v>
      </c>
      <c r="D21" s="1021">
        <v>154.4</v>
      </c>
      <c r="E21" s="1011">
        <v>59.98</v>
      </c>
      <c r="F21" s="1012">
        <v>124.5</v>
      </c>
      <c r="G21" s="1022">
        <v>56.917999999999999</v>
      </c>
      <c r="H21" s="971">
        <v>117.86543399999999</v>
      </c>
      <c r="I21" s="965">
        <v>135.79300000000001</v>
      </c>
      <c r="J21" s="971"/>
      <c r="K21" s="1023">
        <v>152.9</v>
      </c>
      <c r="L21" s="23">
        <v>141.69999999999999</v>
      </c>
      <c r="M21" s="382">
        <v>134</v>
      </c>
      <c r="N21" s="23"/>
      <c r="O21" s="383">
        <v>145.1</v>
      </c>
    </row>
    <row r="22" spans="1:15" ht="14.9" customHeight="1" x14ac:dyDescent="0.2">
      <c r="A22" s="83" t="s">
        <v>776</v>
      </c>
      <c r="B22" s="231">
        <v>16</v>
      </c>
      <c r="C22" s="231">
        <v>24</v>
      </c>
      <c r="D22" s="1010">
        <v>34.200000000000003</v>
      </c>
      <c r="E22" s="1011">
        <v>72</v>
      </c>
      <c r="F22" s="1012">
        <v>104.3</v>
      </c>
      <c r="G22" s="1022">
        <v>111.55800000000001</v>
      </c>
      <c r="H22" s="971">
        <v>127.04961400000001</v>
      </c>
      <c r="I22" s="965">
        <v>130</v>
      </c>
      <c r="J22" s="971"/>
      <c r="K22" s="1023">
        <v>131.19999999999999</v>
      </c>
      <c r="L22" s="23">
        <f>134+3.7</f>
        <v>137.69999999999999</v>
      </c>
      <c r="M22" s="382">
        <f>145.6+3.3</f>
        <v>148.9</v>
      </c>
      <c r="N22" s="23"/>
      <c r="O22" s="383">
        <f>151.4+3</f>
        <v>154.4</v>
      </c>
    </row>
    <row r="23" spans="1:15" ht="14.9" customHeight="1" x14ac:dyDescent="0.2">
      <c r="A23" s="83" t="s">
        <v>858</v>
      </c>
      <c r="B23" s="231">
        <v>10</v>
      </c>
      <c r="C23" s="231">
        <v>8.9</v>
      </c>
      <c r="D23" s="1010">
        <v>9.1999999999999993</v>
      </c>
      <c r="E23" s="1011">
        <v>8.9</v>
      </c>
      <c r="F23" s="1012">
        <v>7.8</v>
      </c>
      <c r="G23" s="1022">
        <v>4.8659999999999997</v>
      </c>
      <c r="H23" s="971">
        <v>7.006399</v>
      </c>
      <c r="I23" s="965">
        <v>10.102</v>
      </c>
      <c r="J23" s="971"/>
      <c r="K23" s="1023">
        <v>10.6</v>
      </c>
      <c r="L23" s="23">
        <f>7.4+2.7</f>
        <v>10.100000000000001</v>
      </c>
      <c r="M23" s="382">
        <f>7.7+2.7</f>
        <v>10.4</v>
      </c>
      <c r="N23" s="23"/>
      <c r="O23" s="383">
        <f>2.7+7.7</f>
        <v>10.4</v>
      </c>
    </row>
    <row r="24" spans="1:15" ht="14.9" customHeight="1" x14ac:dyDescent="0.2">
      <c r="A24" s="83" t="s">
        <v>777</v>
      </c>
      <c r="B24" s="231">
        <v>0</v>
      </c>
      <c r="C24" s="231">
        <v>0.1</v>
      </c>
      <c r="D24" s="1010">
        <v>0</v>
      </c>
      <c r="E24" s="1011">
        <v>0.1</v>
      </c>
      <c r="F24" s="1012">
        <v>0.1</v>
      </c>
      <c r="G24" s="1022">
        <v>0</v>
      </c>
      <c r="H24" s="971">
        <v>0</v>
      </c>
      <c r="I24" s="795">
        <v>0</v>
      </c>
      <c r="J24" s="971"/>
      <c r="K24" s="795">
        <v>0</v>
      </c>
      <c r="L24" s="23"/>
      <c r="M24" s="355"/>
      <c r="N24" s="23"/>
      <c r="O24" s="350"/>
    </row>
    <row r="25" spans="1:15" ht="14.9" customHeight="1" x14ac:dyDescent="0.2">
      <c r="A25" s="384" t="s">
        <v>959</v>
      </c>
      <c r="B25" s="231"/>
      <c r="C25" s="231"/>
      <c r="D25" s="1010"/>
      <c r="E25" s="1011"/>
      <c r="F25" s="1012"/>
      <c r="G25" s="1022"/>
      <c r="H25" s="971"/>
      <c r="J25" s="971"/>
      <c r="L25" s="23"/>
      <c r="M25" s="355">
        <v>10.3</v>
      </c>
      <c r="N25" s="23"/>
      <c r="O25" s="350">
        <v>17</v>
      </c>
    </row>
    <row r="26" spans="1:15" s="795" customFormat="1" ht="14.9" customHeight="1" x14ac:dyDescent="0.25">
      <c r="A26" s="1045" t="s">
        <v>783</v>
      </c>
      <c r="B26" s="1035">
        <v>28</v>
      </c>
      <c r="C26" s="1035">
        <v>34.700000000000003</v>
      </c>
      <c r="D26" s="1024" t="s">
        <v>69</v>
      </c>
      <c r="E26" s="1025">
        <v>0</v>
      </c>
      <c r="F26" s="1012"/>
      <c r="G26" s="1011"/>
      <c r="H26" s="971"/>
      <c r="J26" s="971"/>
      <c r="K26" s="1026"/>
      <c r="L26" s="971"/>
      <c r="N26" s="971"/>
      <c r="O26" s="1026"/>
    </row>
    <row r="27" spans="1:15" s="795" customFormat="1" ht="12.75" customHeight="1" x14ac:dyDescent="0.2">
      <c r="A27" s="1046" t="s">
        <v>778</v>
      </c>
      <c r="B27" s="1047">
        <v>23.3</v>
      </c>
      <c r="C27" s="1047">
        <v>29.4</v>
      </c>
      <c r="D27" s="1027" t="s">
        <v>69</v>
      </c>
      <c r="E27" s="1028">
        <v>0</v>
      </c>
      <c r="F27" s="1012"/>
      <c r="G27" s="1011"/>
      <c r="H27" s="971"/>
      <c r="J27" s="971"/>
      <c r="K27" s="1029"/>
      <c r="L27" s="971"/>
      <c r="N27" s="971"/>
      <c r="O27" s="1029"/>
    </row>
    <row r="28" spans="1:15" s="795" customFormat="1" ht="12.75" customHeight="1" x14ac:dyDescent="0.25">
      <c r="A28" s="1046" t="s">
        <v>779</v>
      </c>
      <c r="B28" s="1047">
        <v>4.7</v>
      </c>
      <c r="C28" s="1047">
        <v>5.3</v>
      </c>
      <c r="D28" s="1027" t="s">
        <v>69</v>
      </c>
      <c r="E28" s="1028">
        <v>0</v>
      </c>
      <c r="F28" s="1012"/>
      <c r="G28" s="1011"/>
      <c r="H28" s="971"/>
      <c r="J28" s="971"/>
      <c r="K28" s="1026"/>
      <c r="L28" s="971"/>
      <c r="N28" s="971"/>
      <c r="O28" s="1026"/>
    </row>
    <row r="29" spans="1:15" s="795" customFormat="1" ht="12.75" customHeight="1" x14ac:dyDescent="0.25">
      <c r="A29" s="1026" t="s">
        <v>784</v>
      </c>
      <c r="B29" s="1048">
        <v>34</v>
      </c>
      <c r="C29" s="1048">
        <v>32.36</v>
      </c>
      <c r="D29" s="1030" t="s">
        <v>71</v>
      </c>
      <c r="E29" s="1031" t="s">
        <v>71</v>
      </c>
      <c r="F29" s="1012"/>
      <c r="G29" s="1011"/>
      <c r="H29" s="971"/>
      <c r="J29" s="971"/>
      <c r="K29" s="1029"/>
      <c r="L29" s="971"/>
      <c r="N29" s="971"/>
      <c r="O29" s="1029"/>
    </row>
    <row r="30" spans="1:15" s="795" customFormat="1" ht="12.75" customHeight="1" x14ac:dyDescent="0.2">
      <c r="A30" s="1029" t="s">
        <v>780</v>
      </c>
      <c r="B30" s="1049">
        <v>34</v>
      </c>
      <c r="C30" s="1049">
        <v>32.4</v>
      </c>
      <c r="D30" s="1027" t="s">
        <v>71</v>
      </c>
      <c r="E30" s="1028" t="s">
        <v>71</v>
      </c>
      <c r="F30" s="1012"/>
      <c r="G30" s="1011"/>
      <c r="H30" s="971"/>
      <c r="J30" s="971"/>
      <c r="L30" s="971"/>
      <c r="N30" s="971"/>
    </row>
    <row r="31" spans="1:15" ht="12.75" customHeight="1" x14ac:dyDescent="0.25">
      <c r="A31" s="399" t="s">
        <v>960</v>
      </c>
      <c r="B31" s="235"/>
      <c r="C31" s="235"/>
      <c r="D31" s="1032">
        <v>31.9</v>
      </c>
      <c r="E31" s="1019">
        <f>E32</f>
        <v>11</v>
      </c>
      <c r="F31" s="1020">
        <f>F32</f>
        <v>3.1</v>
      </c>
      <c r="G31" s="1019">
        <v>12.3</v>
      </c>
      <c r="H31" s="1018">
        <v>12.3</v>
      </c>
      <c r="I31" s="1033">
        <v>3.1</v>
      </c>
      <c r="J31" s="1018"/>
      <c r="K31" s="1034">
        <f>K32</f>
        <v>22</v>
      </c>
      <c r="L31" s="395">
        <f>L32</f>
        <v>49.3</v>
      </c>
      <c r="M31" s="400">
        <f>M32</f>
        <v>55.7</v>
      </c>
      <c r="N31" s="395"/>
      <c r="O31" s="401">
        <f>O32</f>
        <v>57.98</v>
      </c>
    </row>
    <row r="32" spans="1:15" ht="12.75" customHeight="1" x14ac:dyDescent="0.2">
      <c r="A32" s="85" t="s">
        <v>964</v>
      </c>
      <c r="B32" s="201"/>
      <c r="C32" s="201"/>
      <c r="D32" s="1021">
        <v>31.9</v>
      </c>
      <c r="E32" s="1011">
        <v>11</v>
      </c>
      <c r="F32" s="1012">
        <v>3.1</v>
      </c>
      <c r="G32" s="1011">
        <v>12.3</v>
      </c>
      <c r="H32" s="971">
        <v>12.3</v>
      </c>
      <c r="I32" s="965">
        <v>3.1</v>
      </c>
      <c r="J32" s="971"/>
      <c r="K32" s="795">
        <v>22</v>
      </c>
      <c r="L32" s="23">
        <v>49.3</v>
      </c>
      <c r="M32" s="382">
        <v>55.7</v>
      </c>
      <c r="N32" s="23"/>
      <c r="O32" s="350">
        <v>57.98</v>
      </c>
    </row>
    <row r="33" spans="1:32" ht="12.75" customHeight="1" x14ac:dyDescent="0.25">
      <c r="A33" s="393" t="s">
        <v>785</v>
      </c>
      <c r="B33" s="398">
        <v>5.85</v>
      </c>
      <c r="C33" s="398">
        <v>6.55</v>
      </c>
      <c r="D33" s="1035">
        <v>6.72</v>
      </c>
      <c r="E33" s="1019">
        <f>E34</f>
        <v>2.69</v>
      </c>
      <c r="F33" s="1020">
        <f>F34</f>
        <v>5.01</v>
      </c>
      <c r="G33" s="1019">
        <v>2.92</v>
      </c>
      <c r="H33" s="1018">
        <v>2.92</v>
      </c>
      <c r="I33" s="1018">
        <v>7.7</v>
      </c>
      <c r="J33" s="1018"/>
      <c r="K33" s="1018">
        <f>K34</f>
        <v>7</v>
      </c>
      <c r="L33" s="395">
        <f>L34</f>
        <v>8.1</v>
      </c>
      <c r="M33" s="396">
        <f>M34</f>
        <v>9.6</v>
      </c>
      <c r="N33" s="395"/>
      <c r="O33" s="397">
        <f>O34</f>
        <v>10.3</v>
      </c>
    </row>
    <row r="34" spans="1:32" ht="12.75" customHeight="1" x14ac:dyDescent="0.2">
      <c r="A34" s="79" t="s">
        <v>781</v>
      </c>
      <c r="B34" s="235">
        <v>5.85</v>
      </c>
      <c r="C34" s="235">
        <v>6.6</v>
      </c>
      <c r="D34" s="1036">
        <v>6.7</v>
      </c>
      <c r="E34" s="976">
        <v>2.69</v>
      </c>
      <c r="F34" s="1037">
        <v>5.01</v>
      </c>
      <c r="G34" s="976">
        <v>2.92</v>
      </c>
      <c r="H34" s="1038">
        <v>5</v>
      </c>
      <c r="I34" s="952">
        <v>7.7</v>
      </c>
      <c r="J34" s="1038"/>
      <c r="K34" s="952">
        <v>7</v>
      </c>
      <c r="L34" s="111">
        <v>8.1</v>
      </c>
      <c r="M34" s="385">
        <v>9.6</v>
      </c>
      <c r="N34" s="111"/>
      <c r="O34" s="386">
        <v>10.3</v>
      </c>
    </row>
    <row r="35" spans="1:32" ht="12.75" customHeight="1" x14ac:dyDescent="0.2">
      <c r="A35" s="10"/>
      <c r="B35" s="21"/>
      <c r="C35" s="21"/>
      <c r="D35" s="817"/>
      <c r="E35" s="1039"/>
      <c r="F35" s="1039"/>
      <c r="G35" s="1039"/>
      <c r="H35" s="1039"/>
      <c r="I35" s="1039"/>
      <c r="J35" s="1039"/>
      <c r="K35" s="1039"/>
    </row>
    <row r="36" spans="1:32" ht="12.75" customHeight="1" x14ac:dyDescent="0.2">
      <c r="A36" s="5" t="s">
        <v>962</v>
      </c>
      <c r="AE36" s="3">
        <v>3</v>
      </c>
      <c r="AF36" s="3">
        <v>701.3</v>
      </c>
    </row>
    <row r="37" spans="1:32" ht="12.75" customHeight="1" x14ac:dyDescent="0.2">
      <c r="A37" s="1090" t="s">
        <v>133</v>
      </c>
      <c r="B37" s="1090"/>
      <c r="C37" s="1090"/>
      <c r="D37" s="1090"/>
      <c r="E37" s="1090"/>
      <c r="F37" s="1090"/>
      <c r="G37" s="1090"/>
      <c r="H37" s="1090"/>
      <c r="I37" s="1090"/>
      <c r="J37" s="1090"/>
      <c r="K37" s="1090"/>
    </row>
    <row r="38" spans="1:32" s="795" customFormat="1" ht="21.65" customHeight="1" x14ac:dyDescent="0.2">
      <c r="A38" s="1091" t="s">
        <v>134</v>
      </c>
      <c r="B38" s="1091"/>
      <c r="C38" s="1091"/>
      <c r="D38" s="1091"/>
      <c r="E38" s="1091"/>
      <c r="F38" s="1091"/>
      <c r="G38" s="1091"/>
      <c r="H38" s="1091"/>
      <c r="I38" s="1091"/>
      <c r="J38" s="1091"/>
      <c r="K38" s="1091"/>
    </row>
    <row r="39" spans="1:32" s="795" customFormat="1" ht="13.75" customHeight="1" x14ac:dyDescent="0.2">
      <c r="A39" s="1050" t="s">
        <v>135</v>
      </c>
      <c r="B39" s="817"/>
      <c r="F39" s="1040"/>
      <c r="G39" s="1040"/>
    </row>
    <row r="40" spans="1:32" ht="34.75" customHeight="1" x14ac:dyDescent="0.2">
      <c r="A40" s="1090" t="s">
        <v>963</v>
      </c>
      <c r="B40" s="1090"/>
      <c r="C40" s="1090"/>
      <c r="D40" s="1090"/>
      <c r="E40" s="1090"/>
      <c r="F40" s="1090"/>
      <c r="G40" s="1090"/>
      <c r="H40" s="1041"/>
      <c r="I40" s="1042"/>
      <c r="J40" s="1042"/>
      <c r="K40" s="1042"/>
    </row>
    <row r="41" spans="1:32" s="62" customFormat="1" x14ac:dyDescent="0.2">
      <c r="D41" s="1043"/>
      <c r="E41" s="1043"/>
      <c r="F41" s="1043"/>
      <c r="G41" s="1043"/>
      <c r="H41" s="1043"/>
      <c r="I41" s="1043"/>
      <c r="J41" s="1043"/>
      <c r="K41" s="1043"/>
    </row>
    <row r="42" spans="1:32" x14ac:dyDescent="0.2">
      <c r="A42" s="5" t="s">
        <v>807</v>
      </c>
    </row>
    <row r="43" spans="1:32" ht="12.5" x14ac:dyDescent="0.25">
      <c r="E43" s="1044"/>
      <c r="F43" s="1044"/>
      <c r="G43" s="1044"/>
      <c r="H43" s="1044"/>
      <c r="I43" s="1044"/>
      <c r="J43" s="1044"/>
    </row>
    <row r="78" spans="21:21" x14ac:dyDescent="0.2">
      <c r="U78" s="83"/>
    </row>
    <row r="79" spans="21:21" x14ac:dyDescent="0.2">
      <c r="U79" s="83"/>
    </row>
    <row r="80" spans="21:21" x14ac:dyDescent="0.2">
      <c r="U80" s="83"/>
    </row>
    <row r="81" spans="21:21" x14ac:dyDescent="0.2">
      <c r="U81" s="83"/>
    </row>
    <row r="82" spans="21:21" x14ac:dyDescent="0.2">
      <c r="U82" s="83"/>
    </row>
    <row r="83" spans="21:21" ht="10.5" x14ac:dyDescent="0.25">
      <c r="U83" s="84"/>
    </row>
    <row r="84" spans="21:21" x14ac:dyDescent="0.2">
      <c r="U84" s="85"/>
    </row>
    <row r="85" spans="21:21" ht="10.5" x14ac:dyDescent="0.25">
      <c r="U85" s="20"/>
    </row>
    <row r="86" spans="21:21" x14ac:dyDescent="0.2">
      <c r="U86" s="10"/>
    </row>
    <row r="87" spans="21:21" x14ac:dyDescent="0.2">
      <c r="U87" s="5"/>
    </row>
  </sheetData>
  <dataConsolidate/>
  <customSheetViews>
    <customSheetView guid="{B5EA72E7-EF27-46AE-B0E4-CAECE2734832}" showPageBreaks="1" fitToPage="1" printArea="1">
      <pane xSplit="1" topLeftCell="B1" activePane="topRight" state="frozen"/>
      <selection pane="topRight"/>
      <pageMargins left="0.74791666666666701" right="0.74791666666666701" top="0.98402777777777795" bottom="0.98402777777777795" header="0.51180555555555496" footer="0.51180555555555496"/>
      <pageSetup paperSize="9" firstPageNumber="0" orientation="portrait" r:id="rId1"/>
    </customSheetView>
    <customSheetView guid="{D7C60D54-F168-4802-9C20-D9E241B3AC75}" showPageBreaks="1" fitToPage="1" printArea="1" topLeftCell="A13">
      <pane xSplit="1" topLeftCell="B1" activePane="topRight" state="frozen"/>
      <selection pane="topRight" activeCell="A39" sqref="A39"/>
      <pageMargins left="0.74791666666666701" right="0.74791666666666701" top="0.98402777777777795" bottom="0.98402777777777795" header="0.51180555555555496" footer="0.51180555555555496"/>
      <pageSetup paperSize="9" firstPageNumber="0" orientation="portrait" r:id="rId2"/>
    </customSheetView>
    <customSheetView guid="{D4A8130B-E15E-430B-BC62-FA365B34E0AF}" showPageBreaks="1" fitToPage="1" printArea="1">
      <pane xSplit="1" topLeftCell="B1" activePane="topRight" state="frozen"/>
      <selection pane="topRight" activeCell="E15" sqref="E15"/>
      <pageMargins left="0.74791666666666701" right="0.74791666666666701" top="0.98402777777777795" bottom="0.98402777777777795" header="0.51180555555555496" footer="0.51180555555555496"/>
      <pageSetup paperSize="9" firstPageNumber="0" orientation="portrait" r:id="rId3"/>
    </customSheetView>
    <customSheetView guid="{EF36F323-8F00-4DED-B12A-4D51E72FA301}" fitToPage="1">
      <pane xSplit="1" topLeftCell="B1" activePane="topRight" state="frozen"/>
      <selection pane="topRight"/>
      <pageMargins left="0.74791666666666701" right="0.74791666666666701" top="0.98402777777777795" bottom="0.98402777777777795" header="0.51180555555555496" footer="0.51180555555555496"/>
      <pageSetup paperSize="9" firstPageNumber="0" orientation="portrait" r:id="rId4"/>
    </customSheetView>
    <customSheetView guid="{A4014A12-8077-400D-909C-C8C0AE2652D2}" fitToPage="1">
      <pane xSplit="1" topLeftCell="B1" activePane="topRight" state="frozen"/>
      <selection pane="topRight" activeCell="A2" sqref="A2"/>
      <pageMargins left="0.74791666666666701" right="0.74791666666666701" top="0.98402777777777795" bottom="0.98402777777777795" header="0.51180555555555496" footer="0.51180555555555496"/>
      <pageSetup paperSize="9" firstPageNumber="0" orientation="portrait" r:id="rId5"/>
    </customSheetView>
    <customSheetView guid="{254CA843-A8D1-434E-AB9C-F327B1D1E748}" showPageBreaks="1" fitToPage="1" printArea="1">
      <pane xSplit="1" topLeftCell="B1" activePane="topRight" state="frozen"/>
      <selection pane="topRight" activeCell="G20" sqref="G20"/>
      <pageMargins left="0.74791666666666701" right="0.74791666666666701" top="0.98402777777777795" bottom="0.98402777777777795" header="0.51180555555555496" footer="0.51180555555555496"/>
      <pageSetup paperSize="9" firstPageNumber="0" orientation="portrait" r:id="rId6"/>
    </customSheetView>
  </customSheetViews>
  <mergeCells count="3">
    <mergeCell ref="A37:K37"/>
    <mergeCell ref="A38:K38"/>
    <mergeCell ref="A40:G40"/>
  </mergeCells>
  <pageMargins left="0.74791666666666701" right="0.74791666666666701" top="0.98402777777777795" bottom="0.98402777777777795" header="0.51180555555555496" footer="0.51180555555555496"/>
  <pageSetup paperSize="9" firstPageNumber="0" orientation="portrait" r:id="rId7"/>
  <headerFooter>
    <oddFooter>&amp;C&amp;1#&amp;"Calibri"&amp;12&amp;K008000C1 Données Internes</oddFooter>
  </headerFooter>
  <legacy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BC422-1370-4DAB-9296-CA9DC259C014}">
  <sheetPr>
    <tabColor theme="9" tint="0.79998168889431442"/>
  </sheetPr>
  <dimension ref="A1:N51"/>
  <sheetViews>
    <sheetView zoomScale="115" zoomScaleNormal="115" workbookViewId="0">
      <selection activeCell="A16" sqref="A16"/>
    </sheetView>
  </sheetViews>
  <sheetFormatPr baseColWidth="10" defaultColWidth="11.453125" defaultRowHeight="12.5" x14ac:dyDescent="0.25"/>
  <cols>
    <col min="1" max="10" width="11.453125" style="291"/>
    <col min="11" max="11" width="12.453125" style="291" bestFit="1" customWidth="1"/>
    <col min="12" max="12" width="11.453125" style="291"/>
    <col min="13" max="13" width="15.90625" style="291" bestFit="1" customWidth="1"/>
    <col min="14" max="16384" width="11.453125" style="291"/>
  </cols>
  <sheetData>
    <row r="1" spans="1:14" x14ac:dyDescent="0.25">
      <c r="A1" s="303" t="s">
        <v>821</v>
      </c>
      <c r="M1" s="183"/>
    </row>
    <row r="2" spans="1:14" x14ac:dyDescent="0.25">
      <c r="A2" s="302" t="s">
        <v>822</v>
      </c>
    </row>
    <row r="3" spans="1:14" x14ac:dyDescent="0.25">
      <c r="L3" s="477"/>
    </row>
    <row r="4" spans="1:14" x14ac:dyDescent="0.25">
      <c r="A4" s="292"/>
      <c r="B4" s="478">
        <v>2014</v>
      </c>
      <c r="C4" s="478">
        <v>2015</v>
      </c>
      <c r="D4" s="478">
        <v>2016</v>
      </c>
      <c r="E4" s="478">
        <v>2017</v>
      </c>
      <c r="F4" s="478">
        <v>2018</v>
      </c>
      <c r="G4" s="478">
        <v>2019</v>
      </c>
      <c r="H4" s="478">
        <v>2020</v>
      </c>
      <c r="I4" s="478">
        <v>2021</v>
      </c>
      <c r="J4" s="478">
        <v>2022</v>
      </c>
      <c r="K4" s="479">
        <v>2023</v>
      </c>
      <c r="L4" s="479">
        <v>2024</v>
      </c>
      <c r="M4" s="297" t="s">
        <v>823</v>
      </c>
    </row>
    <row r="5" spans="1:14" x14ac:dyDescent="0.25">
      <c r="A5" s="307" t="s">
        <v>6</v>
      </c>
      <c r="B5" s="480">
        <v>12142.664397958164</v>
      </c>
      <c r="C5" s="480">
        <v>12075.0226</v>
      </c>
      <c r="D5" s="480">
        <v>12399.058119828533</v>
      </c>
      <c r="E5" s="480">
        <v>12985.121020991426</v>
      </c>
      <c r="F5" s="480">
        <v>13811.812162162163</v>
      </c>
      <c r="G5" s="480">
        <v>14397.734540257265</v>
      </c>
      <c r="H5" s="480">
        <v>13360.896398104267</v>
      </c>
      <c r="I5" s="480">
        <v>15766.189635958395</v>
      </c>
      <c r="J5" s="480">
        <v>15732.340231497721</v>
      </c>
      <c r="K5" s="480">
        <v>15882.412199170125</v>
      </c>
      <c r="L5" s="480">
        <v>16956</v>
      </c>
      <c r="M5" s="243">
        <f t="shared" ref="M5:M10" si="0">L5/K5-1</f>
        <v>6.7596016736423126E-2</v>
      </c>
      <c r="N5" s="144"/>
    </row>
    <row r="6" spans="1:14" x14ac:dyDescent="0.25">
      <c r="A6" s="306" t="s">
        <v>15</v>
      </c>
      <c r="B6" s="481">
        <v>3310.8504654188773</v>
      </c>
      <c r="C6" s="481">
        <v>3020.605</v>
      </c>
      <c r="D6" s="481">
        <v>2809.6993320705815</v>
      </c>
      <c r="E6" s="481">
        <v>2770.2887552971324</v>
      </c>
      <c r="F6" s="481">
        <v>2570.5250965250966</v>
      </c>
      <c r="G6" s="481">
        <v>2414.1110052405907</v>
      </c>
      <c r="H6" s="481">
        <v>1887.3303317535547</v>
      </c>
      <c r="I6" s="481">
        <v>2064.3747213967313</v>
      </c>
      <c r="J6" s="481">
        <v>1943.8391792353561</v>
      </c>
      <c r="K6" s="481">
        <v>1781.3102904564316</v>
      </c>
      <c r="L6" s="481">
        <v>1654</v>
      </c>
      <c r="M6" s="144">
        <f t="shared" si="0"/>
        <v>-7.1470024699520684E-2</v>
      </c>
      <c r="N6" s="144"/>
    </row>
    <row r="7" spans="1:14" x14ac:dyDescent="0.25">
      <c r="A7" s="306" t="s">
        <v>37</v>
      </c>
      <c r="B7" s="481">
        <v>3975.9821839655697</v>
      </c>
      <c r="C7" s="481">
        <v>3997.0617999999999</v>
      </c>
      <c r="D7" s="481">
        <v>3998.2291895125118</v>
      </c>
      <c r="E7" s="481">
        <v>4070.3804080023656</v>
      </c>
      <c r="F7" s="481">
        <v>4075.9483590733594</v>
      </c>
      <c r="G7" s="481">
        <v>3997.6738446879467</v>
      </c>
      <c r="H7" s="481">
        <v>3536.2610426540286</v>
      </c>
      <c r="I7" s="481">
        <v>4049.746749628529</v>
      </c>
      <c r="J7" s="481">
        <v>3768.7560505085935</v>
      </c>
      <c r="K7" s="481">
        <v>3459.2820746887969</v>
      </c>
      <c r="L7" s="481">
        <v>3523</v>
      </c>
      <c r="M7" s="144">
        <f t="shared" si="0"/>
        <v>1.8419407245630737E-2</v>
      </c>
      <c r="N7" s="144"/>
    </row>
    <row r="8" spans="1:14" x14ac:dyDescent="0.25">
      <c r="A8" s="306" t="s">
        <v>38</v>
      </c>
      <c r="B8" s="481">
        <v>895.89170253227917</v>
      </c>
      <c r="C8" s="481">
        <v>887.68799999999999</v>
      </c>
      <c r="D8" s="481">
        <v>875.11195294586787</v>
      </c>
      <c r="E8" s="481">
        <v>852.95732728885389</v>
      </c>
      <c r="F8" s="481">
        <v>835.4206563706565</v>
      </c>
      <c r="G8" s="481">
        <v>838.77141495950457</v>
      </c>
      <c r="H8" s="481">
        <v>728.05374407582951</v>
      </c>
      <c r="I8" s="481">
        <v>785.44706537890045</v>
      </c>
      <c r="J8" s="481">
        <v>756.77832339529994</v>
      </c>
      <c r="K8" s="481">
        <v>738.71684647302914</v>
      </c>
      <c r="L8" s="481">
        <v>728</v>
      </c>
      <c r="M8" s="144">
        <f t="shared" si="0"/>
        <v>-1.4507380634672495E-2</v>
      </c>
      <c r="N8" s="144"/>
    </row>
    <row r="9" spans="1:14" x14ac:dyDescent="0.25">
      <c r="A9" s="306" t="s">
        <v>49</v>
      </c>
      <c r="B9" s="481">
        <v>3859.9851866680019</v>
      </c>
      <c r="C9" s="481">
        <v>4068.57</v>
      </c>
      <c r="D9" s="481">
        <v>4605.3995613597854</v>
      </c>
      <c r="E9" s="481">
        <v>5176.0658322656946</v>
      </c>
      <c r="F9" s="481">
        <v>6220.432722007723</v>
      </c>
      <c r="G9" s="481">
        <v>7029.7032872796572</v>
      </c>
      <c r="H9" s="481">
        <v>7180.0356398104277</v>
      </c>
      <c r="I9" s="481">
        <v>8818.5325037147104</v>
      </c>
      <c r="J9" s="481">
        <v>9194.856629252894</v>
      </c>
      <c r="K9" s="481">
        <v>9819.2043983402491</v>
      </c>
      <c r="L9" s="481">
        <v>10973</v>
      </c>
      <c r="M9" s="144">
        <f t="shared" si="0"/>
        <v>0.11750398045026733</v>
      </c>
      <c r="N9" s="144"/>
    </row>
    <row r="10" spans="1:14" x14ac:dyDescent="0.25">
      <c r="A10" s="305" t="s">
        <v>39</v>
      </c>
      <c r="B10" s="482">
        <v>99.954859373436108</v>
      </c>
      <c r="C10" s="482">
        <v>101.09780000000001</v>
      </c>
      <c r="D10" s="482">
        <v>110.61808393978667</v>
      </c>
      <c r="E10" s="482">
        <v>115.42869813738051</v>
      </c>
      <c r="F10" s="482">
        <v>109.4853281853282</v>
      </c>
      <c r="G10" s="482">
        <v>117.47498808956647</v>
      </c>
      <c r="H10" s="482">
        <v>29.215639810426545</v>
      </c>
      <c r="I10" s="482">
        <v>48.088595839524515</v>
      </c>
      <c r="J10" s="482">
        <v>68.110049105576991</v>
      </c>
      <c r="K10" s="482">
        <v>83.898589211618258</v>
      </c>
      <c r="L10" s="482">
        <v>78</v>
      </c>
      <c r="M10" s="144">
        <f t="shared" si="0"/>
        <v>-7.0306178769468763E-2</v>
      </c>
      <c r="N10" s="144"/>
    </row>
    <row r="11" spans="1:14" x14ac:dyDescent="0.25">
      <c r="A11" s="483" t="s">
        <v>739</v>
      </c>
      <c r="K11" s="304"/>
    </row>
    <row r="12" spans="1:14" x14ac:dyDescent="0.25">
      <c r="A12" s="292" t="s">
        <v>738</v>
      </c>
      <c r="B12" s="145"/>
      <c r="C12" s="145"/>
      <c r="D12" s="145"/>
      <c r="E12" s="145"/>
      <c r="F12" s="145"/>
      <c r="G12" s="145"/>
      <c r="H12" s="145"/>
      <c r="I12" s="145"/>
      <c r="J12" s="145"/>
      <c r="K12" s="145"/>
      <c r="L12" s="145"/>
      <c r="M12" s="144"/>
    </row>
    <row r="13" spans="1:14" x14ac:dyDescent="0.25">
      <c r="A13" s="484" t="s">
        <v>824</v>
      </c>
      <c r="B13" s="145"/>
      <c r="C13" s="145"/>
      <c r="D13" s="145"/>
      <c r="E13" s="145"/>
      <c r="F13" s="145"/>
      <c r="G13" s="145"/>
      <c r="H13" s="145"/>
      <c r="I13" s="145"/>
      <c r="J13" s="145"/>
      <c r="K13" s="145"/>
      <c r="L13" s="145"/>
      <c r="M13" s="144"/>
    </row>
    <row r="14" spans="1:14" x14ac:dyDescent="0.25">
      <c r="B14" s="146"/>
      <c r="C14" s="146"/>
      <c r="D14" s="146"/>
      <c r="E14" s="146"/>
      <c r="F14" s="146"/>
      <c r="G14" s="146"/>
      <c r="H14" s="146"/>
      <c r="I14" s="146"/>
      <c r="J14" s="146"/>
      <c r="K14" s="146"/>
      <c r="L14" s="146"/>
      <c r="M14" s="144"/>
    </row>
    <row r="17" spans="1:13" x14ac:dyDescent="0.25">
      <c r="A17" s="303" t="s">
        <v>821</v>
      </c>
    </row>
    <row r="18" spans="1:13" x14ac:dyDescent="0.25">
      <c r="A18" s="302" t="s">
        <v>822</v>
      </c>
    </row>
    <row r="19" spans="1:13" x14ac:dyDescent="0.25">
      <c r="L19" s="301"/>
    </row>
    <row r="21" spans="1:13" x14ac:dyDescent="0.25">
      <c r="J21" s="300"/>
    </row>
    <row r="22" spans="1:13" x14ac:dyDescent="0.25">
      <c r="J22" s="300"/>
    </row>
    <row r="23" spans="1:13" x14ac:dyDescent="0.25">
      <c r="J23" s="300"/>
    </row>
    <row r="24" spans="1:13" x14ac:dyDescent="0.25">
      <c r="J24" s="300"/>
    </row>
    <row r="25" spans="1:13" x14ac:dyDescent="0.25">
      <c r="J25" s="300"/>
    </row>
    <row r="26" spans="1:13" ht="15" customHeight="1" x14ac:dyDescent="0.25">
      <c r="J26" s="299"/>
      <c r="L26" s="298"/>
      <c r="M26" s="297" t="s">
        <v>825</v>
      </c>
    </row>
    <row r="27" spans="1:13" x14ac:dyDescent="0.25">
      <c r="J27" s="296"/>
      <c r="K27" s="295"/>
      <c r="L27" s="294" t="s">
        <v>6</v>
      </c>
      <c r="M27" s="293">
        <f>M5</f>
        <v>6.7596016736423126E-2</v>
      </c>
    </row>
    <row r="28" spans="1:13" x14ac:dyDescent="0.25">
      <c r="J28" s="294"/>
      <c r="K28" s="293"/>
      <c r="L28" s="294" t="s">
        <v>49</v>
      </c>
      <c r="M28" s="293">
        <f>M9</f>
        <v>0.11750398045026733</v>
      </c>
    </row>
    <row r="29" spans="1:13" x14ac:dyDescent="0.25">
      <c r="J29" s="294"/>
      <c r="K29" s="293"/>
      <c r="L29" s="294" t="s">
        <v>37</v>
      </c>
      <c r="M29" s="293">
        <f>M7</f>
        <v>1.8419407245630737E-2</v>
      </c>
    </row>
    <row r="30" spans="1:13" x14ac:dyDescent="0.25">
      <c r="K30" s="293"/>
      <c r="L30" s="294" t="s">
        <v>15</v>
      </c>
      <c r="M30" s="293">
        <f>M6</f>
        <v>-7.1470024699520684E-2</v>
      </c>
    </row>
    <row r="31" spans="1:13" x14ac:dyDescent="0.25">
      <c r="J31" s="294"/>
      <c r="K31" s="293"/>
      <c r="L31" s="294" t="s">
        <v>38</v>
      </c>
      <c r="M31" s="293">
        <f>M8</f>
        <v>-1.4507380634672495E-2</v>
      </c>
    </row>
    <row r="32" spans="1:13" x14ac:dyDescent="0.25">
      <c r="K32" s="293"/>
      <c r="L32" s="294" t="s">
        <v>39</v>
      </c>
      <c r="M32" s="293">
        <f>M10</f>
        <v>-7.0306178769468763E-2</v>
      </c>
    </row>
    <row r="33" spans="1:13" x14ac:dyDescent="0.25">
      <c r="J33" s="293"/>
      <c r="K33" s="292"/>
      <c r="L33" s="292"/>
      <c r="M33" s="292"/>
    </row>
    <row r="34" spans="1:13" x14ac:dyDescent="0.25">
      <c r="J34" s="292"/>
      <c r="K34" s="292"/>
      <c r="L34" s="292"/>
    </row>
    <row r="43" spans="1:13" x14ac:dyDescent="0.25">
      <c r="A43" s="292"/>
    </row>
    <row r="49" spans="1:1" x14ac:dyDescent="0.25">
      <c r="A49" s="483" t="s">
        <v>739</v>
      </c>
    </row>
    <row r="50" spans="1:1" x14ac:dyDescent="0.25">
      <c r="A50" s="292" t="s">
        <v>738</v>
      </c>
    </row>
    <row r="51" spans="1:1" x14ac:dyDescent="0.25">
      <c r="A51" s="484" t="s">
        <v>824</v>
      </c>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4"/>
  <sheetViews>
    <sheetView workbookViewId="0">
      <selection activeCell="J27" sqref="J27"/>
    </sheetView>
  </sheetViews>
  <sheetFormatPr baseColWidth="10" defaultRowHeight="12.5" x14ac:dyDescent="0.25"/>
  <cols>
    <col min="1" max="1" width="89.08984375" bestFit="1" customWidth="1"/>
    <col min="2" max="2" width="12.54296875" bestFit="1" customWidth="1"/>
  </cols>
  <sheetData>
    <row r="1" spans="1:2" ht="13.5" thickBot="1" x14ac:dyDescent="0.35">
      <c r="A1" s="237" t="s">
        <v>723</v>
      </c>
      <c r="B1" s="238">
        <v>4737919894</v>
      </c>
    </row>
    <row r="2" spans="1:2" ht="13" x14ac:dyDescent="0.3">
      <c r="A2" s="184"/>
      <c r="B2" s="236"/>
    </row>
    <row r="3" spans="1:2" ht="13" x14ac:dyDescent="0.3">
      <c r="A3" s="184" t="s">
        <v>717</v>
      </c>
      <c r="B3" s="236">
        <v>3444379339</v>
      </c>
    </row>
    <row r="4" spans="1:2" x14ac:dyDescent="0.25">
      <c r="B4" s="93"/>
    </row>
    <row r="5" spans="1:2" x14ac:dyDescent="0.25">
      <c r="A5" t="s">
        <v>718</v>
      </c>
      <c r="B5" s="93">
        <v>2614379339</v>
      </c>
    </row>
    <row r="6" spans="1:2" x14ac:dyDescent="0.25">
      <c r="A6" t="s">
        <v>710</v>
      </c>
      <c r="B6" s="93">
        <v>280701684</v>
      </c>
    </row>
    <row r="8" spans="1:2" x14ac:dyDescent="0.25">
      <c r="A8" t="s">
        <v>714</v>
      </c>
      <c r="B8">
        <v>0</v>
      </c>
    </row>
    <row r="10" spans="1:2" x14ac:dyDescent="0.25">
      <c r="A10" t="s">
        <v>719</v>
      </c>
      <c r="B10" s="93">
        <v>1000000</v>
      </c>
    </row>
    <row r="11" spans="1:2" x14ac:dyDescent="0.25">
      <c r="B11" s="93"/>
    </row>
    <row r="12" spans="1:2" x14ac:dyDescent="0.25">
      <c r="A12" t="s">
        <v>720</v>
      </c>
      <c r="B12" s="93">
        <v>829000000</v>
      </c>
    </row>
    <row r="13" spans="1:2" x14ac:dyDescent="0.25">
      <c r="B13" s="93"/>
    </row>
    <row r="14" spans="1:2" ht="13" x14ac:dyDescent="0.3">
      <c r="A14" s="184" t="s">
        <v>721</v>
      </c>
      <c r="B14" s="236">
        <v>1293540555</v>
      </c>
    </row>
    <row r="16" spans="1:2" x14ac:dyDescent="0.25">
      <c r="A16" t="s">
        <v>716</v>
      </c>
      <c r="B16" s="93">
        <v>1285540555</v>
      </c>
    </row>
    <row r="17" spans="1:2" x14ac:dyDescent="0.25">
      <c r="A17" t="s">
        <v>711</v>
      </c>
      <c r="B17" s="93">
        <v>1132928509</v>
      </c>
    </row>
    <row r="18" spans="1:2" x14ac:dyDescent="0.25">
      <c r="A18" t="s">
        <v>712</v>
      </c>
      <c r="B18" s="93">
        <v>152612046</v>
      </c>
    </row>
    <row r="19" spans="1:2" x14ac:dyDescent="0.25">
      <c r="A19" t="s">
        <v>713</v>
      </c>
      <c r="B19">
        <v>0</v>
      </c>
    </row>
    <row r="21" spans="1:2" x14ac:dyDescent="0.25">
      <c r="A21" t="s">
        <v>715</v>
      </c>
      <c r="B21" s="93">
        <v>8000000</v>
      </c>
    </row>
    <row r="24" spans="1:2" ht="13.5" thickBot="1" x14ac:dyDescent="0.35">
      <c r="A24" s="237" t="s">
        <v>726</v>
      </c>
      <c r="B24" s="238">
        <v>5650176317</v>
      </c>
    </row>
    <row r="25" spans="1:2" ht="13" x14ac:dyDescent="0.3">
      <c r="A25" s="239"/>
      <c r="B25" s="240"/>
    </row>
    <row r="26" spans="1:2" ht="13" x14ac:dyDescent="0.3">
      <c r="A26" s="184" t="s">
        <v>717</v>
      </c>
      <c r="B26" s="236">
        <v>5286002745</v>
      </c>
    </row>
    <row r="27" spans="1:2" ht="13" x14ac:dyDescent="0.3">
      <c r="A27" s="184"/>
      <c r="B27" s="93"/>
    </row>
    <row r="28" spans="1:2" x14ac:dyDescent="0.25">
      <c r="A28" t="s">
        <v>722</v>
      </c>
      <c r="B28" s="93">
        <v>421774350</v>
      </c>
    </row>
    <row r="29" spans="1:2" x14ac:dyDescent="0.25">
      <c r="A29" t="s">
        <v>710</v>
      </c>
      <c r="B29" s="93">
        <v>2600000</v>
      </c>
    </row>
    <row r="30" spans="1:2" x14ac:dyDescent="0.25">
      <c r="A30" s="93"/>
    </row>
    <row r="31" spans="1:2" x14ac:dyDescent="0.25">
      <c r="A31" s="241" t="s">
        <v>714</v>
      </c>
      <c r="B31" s="242">
        <v>4025228395</v>
      </c>
    </row>
    <row r="33" spans="1:2" x14ac:dyDescent="0.25">
      <c r="A33" t="s">
        <v>719</v>
      </c>
      <c r="B33">
        <v>0</v>
      </c>
    </row>
    <row r="35" spans="1:2" x14ac:dyDescent="0.25">
      <c r="A35" t="s">
        <v>720</v>
      </c>
      <c r="B35" s="93">
        <v>839000000</v>
      </c>
    </row>
    <row r="37" spans="1:2" ht="13" x14ac:dyDescent="0.3">
      <c r="A37" s="184" t="s">
        <v>721</v>
      </c>
      <c r="B37" s="236">
        <v>364173572</v>
      </c>
    </row>
    <row r="38" spans="1:2" ht="13" x14ac:dyDescent="0.3">
      <c r="A38" s="184"/>
    </row>
    <row r="39" spans="1:2" x14ac:dyDescent="0.25">
      <c r="A39" t="s">
        <v>724</v>
      </c>
      <c r="B39" s="93">
        <v>314173572</v>
      </c>
    </row>
    <row r="40" spans="1:2" x14ac:dyDescent="0.25">
      <c r="A40" t="s">
        <v>711</v>
      </c>
      <c r="B40" s="93">
        <v>276291870</v>
      </c>
    </row>
    <row r="41" spans="1:2" x14ac:dyDescent="0.25">
      <c r="A41" t="s">
        <v>712</v>
      </c>
      <c r="B41" s="93">
        <v>37881702</v>
      </c>
    </row>
    <row r="42" spans="1:2" x14ac:dyDescent="0.25">
      <c r="A42" t="s">
        <v>713</v>
      </c>
      <c r="B42">
        <v>0</v>
      </c>
    </row>
    <row r="44" spans="1:2" x14ac:dyDescent="0.25">
      <c r="A44" t="s">
        <v>725</v>
      </c>
      <c r="B44" s="93">
        <v>50000000</v>
      </c>
    </row>
  </sheetData>
  <pageMargins left="0.7" right="0.7" top="0.75" bottom="0.75" header="0.3" footer="0.3"/>
  <pageSetup paperSize="9" orientation="portrait" r:id="rId1"/>
  <headerFooter>
    <oddFooter>&amp;C&amp;1#&amp;"Calibri"&amp;12&amp;K008000C1 Données Internes</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AG53"/>
  <sheetViews>
    <sheetView tabSelected="1" zoomScale="110" zoomScaleNormal="110" workbookViewId="0">
      <pane xSplit="1" topLeftCell="B1" activePane="topRight" state="frozen"/>
      <selection pane="topRight" activeCell="L6" sqref="L6:L17"/>
    </sheetView>
  </sheetViews>
  <sheetFormatPr baseColWidth="10" defaultColWidth="9.08984375" defaultRowHeight="10" x14ac:dyDescent="0.2"/>
  <cols>
    <col min="1" max="1" width="61" style="3" bestFit="1" customWidth="1"/>
    <col min="2" max="2" width="7.08984375" style="3" bestFit="1" customWidth="1"/>
    <col min="3" max="3" width="12.08984375" style="795" bestFit="1" customWidth="1"/>
    <col min="4" max="4" width="7.08984375" style="3" bestFit="1" customWidth="1"/>
    <col min="5" max="5" width="6.6328125" style="795" customWidth="1"/>
    <col min="6" max="6" width="8" style="3" customWidth="1"/>
    <col min="7" max="7" width="7.36328125" style="795" customWidth="1"/>
    <col min="8" max="8" width="8.54296875" style="3" customWidth="1"/>
    <col min="9" max="9" width="9.453125" style="795" customWidth="1"/>
    <col min="10" max="10" width="8" style="3" customWidth="1"/>
    <col min="11" max="12" width="6.6328125" style="795" customWidth="1"/>
    <col min="13" max="14" width="8.08984375" style="3" customWidth="1"/>
    <col min="15" max="15" width="6.453125" style="3" customWidth="1"/>
    <col min="16" max="16" width="4.453125" style="3" bestFit="1" customWidth="1"/>
    <col min="17" max="17" width="8.36328125" style="795" customWidth="1"/>
    <col min="18" max="18" width="7.453125" style="795" bestFit="1" customWidth="1"/>
    <col min="19" max="19" width="7.54296875" style="795" customWidth="1"/>
    <col min="20" max="20" width="7.08984375" style="795" customWidth="1"/>
    <col min="21" max="21" width="10" style="3" bestFit="1" customWidth="1"/>
    <col min="22" max="22" width="7.08984375" style="3" customWidth="1"/>
    <col min="23" max="23" width="8.54296875" style="795" customWidth="1"/>
    <col min="24" max="24" width="9.08984375" style="3"/>
    <col min="25" max="27" width="0" style="3" hidden="1" customWidth="1"/>
    <col min="28" max="29" width="9.08984375" style="3"/>
    <col min="30" max="30" width="49.453125" style="3" bestFit="1" customWidth="1"/>
    <col min="31" max="32" width="13" style="3" bestFit="1" customWidth="1"/>
    <col min="33" max="16384" width="9.08984375" style="3"/>
  </cols>
  <sheetData>
    <row r="1" spans="1:33" ht="10.5" x14ac:dyDescent="0.25">
      <c r="A1" s="31" t="s">
        <v>926</v>
      </c>
    </row>
    <row r="2" spans="1:33" ht="14.9" customHeight="1" x14ac:dyDescent="0.2">
      <c r="A2" s="24" t="s">
        <v>730</v>
      </c>
    </row>
    <row r="3" spans="1:33" ht="10.5" x14ac:dyDescent="0.25">
      <c r="A3" s="147" t="s">
        <v>108</v>
      </c>
      <c r="Q3" s="1056" t="s">
        <v>742</v>
      </c>
      <c r="R3" s="1056"/>
      <c r="W3" s="937" t="s">
        <v>742</v>
      </c>
      <c r="X3" s="758" t="s">
        <v>742</v>
      </c>
      <c r="Y3" s="580"/>
      <c r="Z3" s="597" t="s">
        <v>775</v>
      </c>
    </row>
    <row r="4" spans="1:33" ht="10.5" x14ac:dyDescent="0.2">
      <c r="A4" s="39"/>
      <c r="B4" s="74">
        <v>2019</v>
      </c>
      <c r="C4" s="796">
        <v>2020</v>
      </c>
      <c r="D4" s="129">
        <v>2020</v>
      </c>
      <c r="E4" s="796">
        <v>2021</v>
      </c>
      <c r="F4" s="44">
        <v>2021</v>
      </c>
      <c r="G4" s="796">
        <v>2022</v>
      </c>
      <c r="H4" s="44">
        <v>2022</v>
      </c>
      <c r="I4" s="796">
        <v>2023</v>
      </c>
      <c r="J4" s="485">
        <v>2023</v>
      </c>
      <c r="K4" s="850">
        <v>2024</v>
      </c>
      <c r="L4" s="1103"/>
      <c r="M4" s="530">
        <v>2024</v>
      </c>
      <c r="N4" s="416"/>
      <c r="O4" s="1051">
        <v>2025</v>
      </c>
      <c r="P4" s="1052"/>
      <c r="Q4" s="870" t="s">
        <v>826</v>
      </c>
      <c r="R4" s="871" t="s">
        <v>826</v>
      </c>
      <c r="S4" s="1053">
        <v>2026</v>
      </c>
      <c r="T4" s="1054"/>
      <c r="U4" s="1051">
        <v>2026</v>
      </c>
      <c r="V4" s="1052"/>
      <c r="W4" s="938" t="s">
        <v>847</v>
      </c>
      <c r="X4" s="575" t="s">
        <v>929</v>
      </c>
      <c r="Y4" s="101" t="s">
        <v>864</v>
      </c>
      <c r="Z4" s="598" t="s">
        <v>862</v>
      </c>
      <c r="AA4" s="57" t="s">
        <v>863</v>
      </c>
    </row>
    <row r="5" spans="1:33" ht="31.5" x14ac:dyDescent="0.25">
      <c r="A5" s="39"/>
      <c r="B5" s="30" t="s">
        <v>58</v>
      </c>
      <c r="C5" s="797" t="s">
        <v>63</v>
      </c>
      <c r="D5" s="130" t="s">
        <v>58</v>
      </c>
      <c r="E5" s="821" t="s">
        <v>119</v>
      </c>
      <c r="F5" s="487" t="s">
        <v>58</v>
      </c>
      <c r="G5" s="821" t="s">
        <v>119</v>
      </c>
      <c r="H5" s="487" t="s">
        <v>58</v>
      </c>
      <c r="I5" s="821" t="s">
        <v>119</v>
      </c>
      <c r="J5" s="498" t="s">
        <v>58</v>
      </c>
      <c r="K5" s="851" t="s">
        <v>119</v>
      </c>
      <c r="L5" s="1104"/>
      <c r="M5" s="498" t="s">
        <v>58</v>
      </c>
      <c r="N5" s="487"/>
      <c r="O5" s="322" t="s">
        <v>119</v>
      </c>
      <c r="P5" s="425" t="s">
        <v>1</v>
      </c>
      <c r="Q5" s="872" t="s">
        <v>827</v>
      </c>
      <c r="R5" s="873" t="s">
        <v>828</v>
      </c>
      <c r="S5" s="874" t="s">
        <v>137</v>
      </c>
      <c r="T5" s="872" t="s">
        <v>1</v>
      </c>
      <c r="U5" s="759" t="s">
        <v>119</v>
      </c>
      <c r="V5" s="760" t="s">
        <v>1</v>
      </c>
      <c r="W5" s="939" t="s">
        <v>848</v>
      </c>
      <c r="X5" s="576" t="s">
        <v>827</v>
      </c>
      <c r="Y5" s="596" t="s">
        <v>865</v>
      </c>
      <c r="Z5" s="599" t="s">
        <v>867</v>
      </c>
      <c r="AA5" s="597" t="s">
        <v>866</v>
      </c>
    </row>
    <row r="6" spans="1:33" ht="15" customHeight="1" x14ac:dyDescent="0.25">
      <c r="A6" s="40" t="s">
        <v>2</v>
      </c>
      <c r="B6" s="46">
        <f>SUM(B7:B10)</f>
        <v>2947.2649999999999</v>
      </c>
      <c r="C6" s="798">
        <v>2961.1782549999998</v>
      </c>
      <c r="D6" s="131">
        <f t="shared" ref="D6:I6" si="0">SUM(D7:D10)</f>
        <v>3163.0889999999999</v>
      </c>
      <c r="E6" s="822">
        <f t="shared" si="0"/>
        <v>3201.179486</v>
      </c>
      <c r="F6" s="488">
        <f t="shared" si="0"/>
        <v>3835.0216300000002</v>
      </c>
      <c r="G6" s="826">
        <f t="shared" si="0"/>
        <v>3460.98</v>
      </c>
      <c r="H6" s="488">
        <f t="shared" si="0"/>
        <v>3611.0220250000002</v>
      </c>
      <c r="I6" s="826">
        <f t="shared" si="0"/>
        <v>3717.8902330000001</v>
      </c>
      <c r="J6" s="499">
        <f t="shared" ref="J6" si="1">SUM(J7:J10)</f>
        <v>3865.6980050000002</v>
      </c>
      <c r="K6" s="852">
        <f>SUM(K7:K10)</f>
        <v>3905.1198939999999</v>
      </c>
      <c r="L6" s="426">
        <f>K6/K$17</f>
        <v>0.84142702688746929</v>
      </c>
      <c r="M6" s="259">
        <f>M7+M8+M9+M10</f>
        <v>3864.7300000000005</v>
      </c>
      <c r="N6" s="426">
        <f>M6/M$17</f>
        <v>0.8445152930224834</v>
      </c>
      <c r="O6" s="324">
        <f>SUM(O7:O10)</f>
        <v>3918.0283190000005</v>
      </c>
      <c r="P6" s="426">
        <f>O6/O$17</f>
        <v>0.84476108162201147</v>
      </c>
      <c r="Q6" s="875">
        <f>O6/K6-1</f>
        <v>3.3055131085306666E-3</v>
      </c>
      <c r="R6" s="876">
        <f t="shared" ref="R6:R11" si="2">Q6-Q$29</f>
        <v>-1.6694486891469334E-2</v>
      </c>
      <c r="S6" s="877">
        <f>SUM(S7:S10)</f>
        <v>3747.8571769999999</v>
      </c>
      <c r="T6" s="878">
        <f>S6/S$17</f>
        <v>0.84448477308328529</v>
      </c>
      <c r="U6" s="773">
        <f>U7+U8+U9+U10</f>
        <v>3744.5471809999999</v>
      </c>
      <c r="V6" s="426">
        <f>U6/U$17</f>
        <v>0.84194035414292034</v>
      </c>
      <c r="W6" s="940">
        <f t="shared" ref="W6:W11" si="3">S6/O6-1</f>
        <v>-4.3432851461225108E-2</v>
      </c>
      <c r="X6" s="577">
        <f>U6/O6-1</f>
        <v>-4.4277663119157373E-2</v>
      </c>
      <c r="Y6" s="395">
        <f>K6-J6</f>
        <v>39.421888999999737</v>
      </c>
      <c r="Z6" s="600">
        <f>O6-K6</f>
        <v>12.908425000000534</v>
      </c>
      <c r="AA6" s="595">
        <f>S6-O6</f>
        <v>-170.1711420000006</v>
      </c>
      <c r="AD6" s="5"/>
      <c r="AE6" s="783"/>
      <c r="AF6" s="784"/>
    </row>
    <row r="7" spans="1:33" s="1" customFormat="1" ht="14.25" customHeight="1" x14ac:dyDescent="0.25">
      <c r="A7" s="327" t="s">
        <v>3</v>
      </c>
      <c r="B7" s="328">
        <v>946.76099999999997</v>
      </c>
      <c r="C7" s="799">
        <v>971.89421000000004</v>
      </c>
      <c r="D7" s="329">
        <v>1108.5519999999999</v>
      </c>
      <c r="E7" s="799">
        <v>1012.331538</v>
      </c>
      <c r="F7" s="330">
        <v>1395.28017</v>
      </c>
      <c r="G7" s="837">
        <v>1022.69</v>
      </c>
      <c r="H7" s="492">
        <v>1096.8117</v>
      </c>
      <c r="I7" s="837">
        <v>1100.016198</v>
      </c>
      <c r="J7" s="500">
        <v>1212.0972280000001</v>
      </c>
      <c r="K7" s="853">
        <v>1193.810999</v>
      </c>
      <c r="L7" s="427">
        <f>K7/K$17</f>
        <v>0.25722765672252357</v>
      </c>
      <c r="M7" s="511">
        <v>1250.58</v>
      </c>
      <c r="N7" s="427">
        <f>M7/M$17</f>
        <v>0.27327495973795246</v>
      </c>
      <c r="O7" s="522">
        <v>1251.1972310000001</v>
      </c>
      <c r="P7" s="427">
        <f>O7/O$17</f>
        <v>0.26976903690471404</v>
      </c>
      <c r="Q7" s="879">
        <f>O7/K7-1</f>
        <v>4.8069779930047352E-2</v>
      </c>
      <c r="R7" s="880">
        <f t="shared" si="2"/>
        <v>2.8069779930047351E-2</v>
      </c>
      <c r="S7" s="881">
        <v>1145.372429</v>
      </c>
      <c r="T7" s="882">
        <f>S7/S$17</f>
        <v>0.25808069254500204</v>
      </c>
      <c r="U7" s="774">
        <v>1137.4779679999999</v>
      </c>
      <c r="V7" s="427">
        <f>U7/U$17</f>
        <v>0.25575551780120281</v>
      </c>
      <c r="W7" s="941">
        <f t="shared" si="3"/>
        <v>-8.4578833279083665E-2</v>
      </c>
      <c r="X7" s="772">
        <f t="shared" ref="X7:X11" si="4">U7/O7-1</f>
        <v>-9.0888358911337952E-2</v>
      </c>
      <c r="Y7" s="594">
        <f t="shared" ref="Y7:Y17" si="5">K7-J7</f>
        <v>-18.286229000000048</v>
      </c>
      <c r="Z7" s="276">
        <f>O7-K7</f>
        <v>57.386232000000064</v>
      </c>
      <c r="AA7" s="594">
        <f t="shared" ref="AA7:AA11" si="6">S7-O7</f>
        <v>-105.82480200000009</v>
      </c>
      <c r="AD7" s="785"/>
      <c r="AE7" s="786"/>
      <c r="AF7" s="786"/>
    </row>
    <row r="8" spans="1:33" ht="14.9" customHeight="1" x14ac:dyDescent="0.25">
      <c r="A8" s="327" t="s">
        <v>4</v>
      </c>
      <c r="B8" s="331">
        <v>779.46400000000006</v>
      </c>
      <c r="C8" s="799">
        <v>825.43877499999996</v>
      </c>
      <c r="D8" s="329">
        <v>899.55799999999999</v>
      </c>
      <c r="E8" s="799">
        <v>860.68777499999999</v>
      </c>
      <c r="F8" s="330">
        <v>1044.4594959999999</v>
      </c>
      <c r="G8" s="837">
        <v>914.9</v>
      </c>
      <c r="H8" s="492">
        <v>960.28330300000005</v>
      </c>
      <c r="I8" s="837">
        <v>1006.161609</v>
      </c>
      <c r="J8" s="500">
        <v>1010.354287</v>
      </c>
      <c r="K8" s="853">
        <v>1042.653016</v>
      </c>
      <c r="L8" s="427">
        <f t="shared" ref="L8:P11" si="7">K8/K$17</f>
        <v>0.22465800055872315</v>
      </c>
      <c r="M8" s="511">
        <v>973.94</v>
      </c>
      <c r="N8" s="427">
        <f t="shared" si="7"/>
        <v>0.2128239811025136</v>
      </c>
      <c r="O8" s="522">
        <v>1043.774435</v>
      </c>
      <c r="P8" s="427">
        <f t="shared" si="7"/>
        <v>0.22504687278652716</v>
      </c>
      <c r="Q8" s="879">
        <f t="shared" ref="Q8:Q10" si="8">O8/K8-1</f>
        <v>1.0755438125544803E-3</v>
      </c>
      <c r="R8" s="883">
        <f t="shared" si="2"/>
        <v>-1.892445618744552E-2</v>
      </c>
      <c r="S8" s="881">
        <v>1009.8997000000001</v>
      </c>
      <c r="T8" s="882">
        <f t="shared" ref="T8:T11" si="9">S8/S$17</f>
        <v>0.22755534128278707</v>
      </c>
      <c r="U8" s="522">
        <v>997.83948099999998</v>
      </c>
      <c r="V8" s="427">
        <f t="shared" ref="V8:V11" si="10">U8/U$17</f>
        <v>0.22435859007832534</v>
      </c>
      <c r="W8" s="941">
        <f t="shared" si="3"/>
        <v>-3.2454076152957256E-2</v>
      </c>
      <c r="X8" s="772">
        <f t="shared" si="4"/>
        <v>-4.4008506493071975E-2</v>
      </c>
      <c r="Y8" s="87">
        <f t="shared" si="5"/>
        <v>32.29872899999998</v>
      </c>
      <c r="Z8" s="276">
        <f t="shared" ref="Z8:Z11" si="11">O8-K8</f>
        <v>1.1214190000000599</v>
      </c>
      <c r="AA8" s="594">
        <f t="shared" si="6"/>
        <v>-33.874734999999987</v>
      </c>
      <c r="AD8" s="785"/>
      <c r="AE8" s="786"/>
      <c r="AF8" s="786"/>
    </row>
    <row r="9" spans="1:33" ht="14.9" customHeight="1" x14ac:dyDescent="0.25">
      <c r="A9" s="327" t="s">
        <v>744</v>
      </c>
      <c r="B9" s="332"/>
      <c r="C9" s="800"/>
      <c r="D9" s="333">
        <v>0</v>
      </c>
      <c r="E9" s="799">
        <v>576.64706100000001</v>
      </c>
      <c r="F9" s="330">
        <v>651.95226400000001</v>
      </c>
      <c r="G9" s="837">
        <v>747.93</v>
      </c>
      <c r="H9" s="493">
        <v>769.74812899999995</v>
      </c>
      <c r="I9" s="837">
        <v>799.58171800000002</v>
      </c>
      <c r="J9" s="500">
        <v>833.44419700000003</v>
      </c>
      <c r="K9" s="853">
        <v>824.40051400000004</v>
      </c>
      <c r="L9" s="427">
        <f t="shared" si="7"/>
        <v>0.17763164570832035</v>
      </c>
      <c r="M9" s="511">
        <v>806.99</v>
      </c>
      <c r="N9" s="427">
        <f t="shared" si="7"/>
        <v>0.17634230497763462</v>
      </c>
      <c r="O9" s="522">
        <v>759.91085099999998</v>
      </c>
      <c r="P9" s="427">
        <f t="shared" si="7"/>
        <v>0.16384340800040631</v>
      </c>
      <c r="Q9" s="884">
        <f t="shared" si="8"/>
        <v>-7.822613147958335E-2</v>
      </c>
      <c r="R9" s="883">
        <f t="shared" si="2"/>
        <v>-9.8226131479583353E-2</v>
      </c>
      <c r="S9" s="881">
        <v>722.57466399999998</v>
      </c>
      <c r="T9" s="882">
        <f t="shared" si="9"/>
        <v>0.16281391535101475</v>
      </c>
      <c r="U9" s="522">
        <v>741.12904800000001</v>
      </c>
      <c r="V9" s="427">
        <f t="shared" si="10"/>
        <v>0.16663869434062964</v>
      </c>
      <c r="W9" s="941">
        <f t="shared" si="3"/>
        <v>-4.9132325128490639E-2</v>
      </c>
      <c r="X9" s="772">
        <f t="shared" si="4"/>
        <v>-2.4715797879822587E-2</v>
      </c>
      <c r="Y9" s="594">
        <f t="shared" si="5"/>
        <v>-9.0436829999999873</v>
      </c>
      <c r="Z9" s="601">
        <f t="shared" si="11"/>
        <v>-64.489663000000064</v>
      </c>
      <c r="AA9" s="594">
        <f t="shared" si="6"/>
        <v>-37.336186999999995</v>
      </c>
      <c r="AD9" s="785"/>
      <c r="AE9" s="786"/>
      <c r="AF9" s="786"/>
    </row>
    <row r="10" spans="1:33" ht="14.9" customHeight="1" x14ac:dyDescent="0.25">
      <c r="A10" s="327" t="s">
        <v>745</v>
      </c>
      <c r="B10" s="334">
        <v>1221.04</v>
      </c>
      <c r="C10" s="799">
        <v>1163.84527</v>
      </c>
      <c r="D10" s="329">
        <v>1154.979</v>
      </c>
      <c r="E10" s="799">
        <v>751.51311199999998</v>
      </c>
      <c r="F10" s="330">
        <v>743.3297</v>
      </c>
      <c r="G10" s="837">
        <v>775.46</v>
      </c>
      <c r="H10" s="492">
        <v>784.17889300000002</v>
      </c>
      <c r="I10" s="837">
        <v>812.13070800000003</v>
      </c>
      <c r="J10" s="500">
        <v>809.80229299999996</v>
      </c>
      <c r="K10" s="853">
        <v>844.25536499999998</v>
      </c>
      <c r="L10" s="427">
        <f t="shared" si="7"/>
        <v>0.18190972389790222</v>
      </c>
      <c r="M10" s="511">
        <v>833.22</v>
      </c>
      <c r="N10" s="427">
        <f t="shared" si="7"/>
        <v>0.18207404720438261</v>
      </c>
      <c r="O10" s="522">
        <v>863.145802</v>
      </c>
      <c r="P10" s="427">
        <f t="shared" si="7"/>
        <v>0.1861017639303639</v>
      </c>
      <c r="Q10" s="879">
        <f t="shared" si="8"/>
        <v>2.2375264384609572E-2</v>
      </c>
      <c r="R10" s="880">
        <f t="shared" si="2"/>
        <v>2.3752643846095718E-3</v>
      </c>
      <c r="S10" s="881">
        <v>870.01038400000004</v>
      </c>
      <c r="T10" s="882">
        <f t="shared" si="9"/>
        <v>0.19603482390448143</v>
      </c>
      <c r="U10" s="522">
        <v>868.100684</v>
      </c>
      <c r="V10" s="427">
        <f t="shared" si="10"/>
        <v>0.19518755192276246</v>
      </c>
      <c r="W10" s="942">
        <f t="shared" si="3"/>
        <v>7.9529808105351929E-3</v>
      </c>
      <c r="X10" s="790">
        <f t="shared" si="4"/>
        <v>5.7404924967705551E-3</v>
      </c>
      <c r="Y10" s="87">
        <f t="shared" si="5"/>
        <v>34.45307200000002</v>
      </c>
      <c r="Z10" s="276">
        <f t="shared" si="11"/>
        <v>18.89043700000002</v>
      </c>
      <c r="AA10" s="87">
        <f t="shared" si="6"/>
        <v>6.8645820000000413</v>
      </c>
      <c r="AD10" s="785"/>
      <c r="AE10" s="786"/>
      <c r="AF10" s="786"/>
    </row>
    <row r="11" spans="1:33" ht="14.9" customHeight="1" x14ac:dyDescent="0.25">
      <c r="A11" s="315" t="s">
        <v>868</v>
      </c>
      <c r="B11" s="316">
        <v>707.33</v>
      </c>
      <c r="C11" s="801">
        <v>661.06775100000004</v>
      </c>
      <c r="D11" s="317">
        <v>650.09100000000001</v>
      </c>
      <c r="E11" s="823">
        <v>665.21347000000003</v>
      </c>
      <c r="F11" s="318">
        <v>659.81754699999999</v>
      </c>
      <c r="G11" s="838">
        <v>682.84</v>
      </c>
      <c r="H11" s="494">
        <v>691.887743</v>
      </c>
      <c r="I11" s="838">
        <v>713.48409800000002</v>
      </c>
      <c r="J11" s="501">
        <v>705.685653</v>
      </c>
      <c r="K11" s="854">
        <v>733.78142600000001</v>
      </c>
      <c r="L11" s="428">
        <f t="shared" si="7"/>
        <v>0.15810616329938154</v>
      </c>
      <c r="M11" s="511"/>
      <c r="N11" s="428">
        <f t="shared" si="7"/>
        <v>0</v>
      </c>
      <c r="O11" s="523">
        <v>754.110769</v>
      </c>
      <c r="P11" s="428">
        <f t="shared" si="7"/>
        <v>0.16259285972844617</v>
      </c>
      <c r="Q11" s="885">
        <f>O11/K11-1</f>
        <v>2.7704902685830479E-2</v>
      </c>
      <c r="R11" s="886">
        <f t="shared" si="2"/>
        <v>7.7049026858304788E-3</v>
      </c>
      <c r="S11" s="887">
        <v>763.63258499999995</v>
      </c>
      <c r="T11" s="888">
        <f t="shared" si="9"/>
        <v>0.17206527885326819</v>
      </c>
      <c r="U11" s="523">
        <v>763.63258499999995</v>
      </c>
      <c r="V11" s="428">
        <f t="shared" si="10"/>
        <v>0.17169848795396275</v>
      </c>
      <c r="W11" s="943">
        <f t="shared" si="3"/>
        <v>1.2626548235912916E-2</v>
      </c>
      <c r="X11" s="779">
        <f t="shared" si="4"/>
        <v>1.2626548235912916E-2</v>
      </c>
      <c r="Y11" s="87">
        <f t="shared" si="5"/>
        <v>28.095773000000008</v>
      </c>
      <c r="Z11" s="276">
        <f t="shared" si="11"/>
        <v>20.329342999999994</v>
      </c>
      <c r="AA11" s="87">
        <f t="shared" si="6"/>
        <v>9.5218159999999443</v>
      </c>
      <c r="AD11" s="787"/>
      <c r="AE11" s="788"/>
      <c r="AF11" s="788"/>
    </row>
    <row r="12" spans="1:33" ht="15" customHeight="1" x14ac:dyDescent="0.25">
      <c r="A12" s="40" t="s">
        <v>746</v>
      </c>
      <c r="B12" s="46">
        <f>B13</f>
        <v>109.21</v>
      </c>
      <c r="C12" s="802">
        <v>109.88382799999999</v>
      </c>
      <c r="D12" s="133">
        <f>D13</f>
        <v>108.23</v>
      </c>
      <c r="E12" s="824" t="s">
        <v>95</v>
      </c>
      <c r="F12" s="309" t="s">
        <v>95</v>
      </c>
      <c r="G12" s="839" t="s">
        <v>95</v>
      </c>
      <c r="H12" s="309" t="s">
        <v>95</v>
      </c>
      <c r="I12" s="839" t="s">
        <v>95</v>
      </c>
      <c r="J12" s="502" t="s">
        <v>95</v>
      </c>
      <c r="K12" s="855" t="s">
        <v>95</v>
      </c>
      <c r="L12" s="429" t="s">
        <v>95</v>
      </c>
      <c r="M12" s="512"/>
      <c r="N12" s="429" t="s">
        <v>95</v>
      </c>
      <c r="O12" s="524"/>
      <c r="P12" s="429" t="s">
        <v>95</v>
      </c>
      <c r="Q12" s="889"/>
      <c r="R12" s="890"/>
      <c r="S12" s="891"/>
      <c r="T12" s="892" t="s">
        <v>95</v>
      </c>
      <c r="U12" s="524"/>
      <c r="V12" s="429" t="s">
        <v>95</v>
      </c>
      <c r="W12" s="944"/>
      <c r="X12" s="414"/>
      <c r="Z12" s="357"/>
    </row>
    <row r="13" spans="1:33" ht="14.9" customHeight="1" x14ac:dyDescent="0.2">
      <c r="A13" s="41" t="s">
        <v>747</v>
      </c>
      <c r="B13" s="47">
        <v>109.21</v>
      </c>
      <c r="C13" s="803">
        <v>109.88382799999999</v>
      </c>
      <c r="D13" s="132">
        <v>108.23</v>
      </c>
      <c r="E13" s="825" t="s">
        <v>95</v>
      </c>
      <c r="F13" s="310" t="s">
        <v>95</v>
      </c>
      <c r="G13" s="840" t="s">
        <v>95</v>
      </c>
      <c r="H13" s="310" t="s">
        <v>95</v>
      </c>
      <c r="I13" s="840" t="s">
        <v>95</v>
      </c>
      <c r="J13" s="503" t="s">
        <v>95</v>
      </c>
      <c r="K13" s="856" t="s">
        <v>95</v>
      </c>
      <c r="L13" s="430" t="s">
        <v>95</v>
      </c>
      <c r="M13" s="513"/>
      <c r="N13" s="430" t="s">
        <v>95</v>
      </c>
      <c r="O13" s="525"/>
      <c r="P13" s="430" t="s">
        <v>95</v>
      </c>
      <c r="Q13" s="893"/>
      <c r="R13" s="894"/>
      <c r="S13" s="895"/>
      <c r="T13" s="896" t="s">
        <v>95</v>
      </c>
      <c r="U13" s="525"/>
      <c r="V13" s="430" t="s">
        <v>95</v>
      </c>
      <c r="W13" s="945"/>
      <c r="X13" s="781"/>
      <c r="Z13" s="357"/>
    </row>
    <row r="14" spans="1:33" ht="15" customHeight="1" x14ac:dyDescent="0.25">
      <c r="A14" s="40" t="s">
        <v>5</v>
      </c>
      <c r="B14" s="46">
        <f>B16+B15</f>
        <v>576.61699999999996</v>
      </c>
      <c r="C14" s="798">
        <v>586.75002799999993</v>
      </c>
      <c r="D14" s="131">
        <f>D16+D15</f>
        <v>1146.46</v>
      </c>
      <c r="E14" s="826">
        <f>E15+E16</f>
        <v>604.28959099999997</v>
      </c>
      <c r="F14" s="489">
        <f>F15+F16</f>
        <v>745.52532799999994</v>
      </c>
      <c r="G14" s="841">
        <f>G15+G16</f>
        <v>675.25</v>
      </c>
      <c r="H14" s="489">
        <f>H15+H16</f>
        <v>625.90285999999992</v>
      </c>
      <c r="I14" s="841">
        <f>I16+I15</f>
        <v>704.860321</v>
      </c>
      <c r="J14" s="499">
        <f>J16+J15</f>
        <v>725.64723100000003</v>
      </c>
      <c r="K14" s="852">
        <f>K15+K16</f>
        <v>735.94792200000006</v>
      </c>
      <c r="L14" s="426">
        <f>K14/K$17</f>
        <v>0.15857297311253082</v>
      </c>
      <c r="M14" s="259">
        <f>M15+M16</f>
        <v>711.54</v>
      </c>
      <c r="N14" s="426">
        <f>M14/M$17</f>
        <v>0.1554847069775166</v>
      </c>
      <c r="O14" s="324">
        <f>O15+O16</f>
        <v>720.00295900000003</v>
      </c>
      <c r="P14" s="426">
        <f>O14/O$17</f>
        <v>0.15523891837798856</v>
      </c>
      <c r="Q14" s="897">
        <f>O14/K14-1</f>
        <v>-2.1665884940157532E-2</v>
      </c>
      <c r="R14" s="876">
        <f>Q14-Q$29</f>
        <v>-4.1665884940157535E-2</v>
      </c>
      <c r="S14" s="877">
        <f>S15+S16</f>
        <v>690.18279299999995</v>
      </c>
      <c r="T14" s="878">
        <f>S14/S$17</f>
        <v>0.15551522691671477</v>
      </c>
      <c r="U14" s="773">
        <f>U15+U16</f>
        <v>702.97355199999993</v>
      </c>
      <c r="V14" s="426">
        <f>U14/U$17</f>
        <v>0.15805964585707982</v>
      </c>
      <c r="W14" s="946">
        <f>S14/O14-1</f>
        <v>-4.1416727010978982E-2</v>
      </c>
      <c r="X14" s="577">
        <f>U14/O14-1</f>
        <v>-2.3651856964104656E-2</v>
      </c>
      <c r="Y14" s="395">
        <f t="shared" si="5"/>
        <v>10.300691000000029</v>
      </c>
      <c r="Z14" s="602">
        <f>O14-K14</f>
        <v>-15.94496300000003</v>
      </c>
      <c r="AA14" s="595">
        <f t="shared" ref="AA14:AA17" si="12">S14-O14</f>
        <v>-29.820166000000086</v>
      </c>
      <c r="AC14" s="5"/>
      <c r="AD14" s="5"/>
      <c r="AE14" s="5"/>
      <c r="AF14" s="5"/>
      <c r="AG14" s="5"/>
    </row>
    <row r="15" spans="1:33" ht="14.9" customHeight="1" x14ac:dyDescent="0.25">
      <c r="A15" s="41" t="s">
        <v>62</v>
      </c>
      <c r="B15" s="47">
        <v>281.577</v>
      </c>
      <c r="C15" s="803">
        <v>280.39736299999998</v>
      </c>
      <c r="D15" s="162">
        <v>411.40199999999999</v>
      </c>
      <c r="E15" s="803">
        <v>287.35936299999997</v>
      </c>
      <c r="F15" s="107">
        <v>276.10029300000002</v>
      </c>
      <c r="G15" s="842">
        <v>350.79</v>
      </c>
      <c r="H15" s="495">
        <v>290.47573199999999</v>
      </c>
      <c r="I15" s="842">
        <v>371.00927899999999</v>
      </c>
      <c r="J15" s="166">
        <v>390.37853000000001</v>
      </c>
      <c r="K15" s="857">
        <v>376.665279</v>
      </c>
      <c r="L15" s="427">
        <f>K15/K$17</f>
        <v>8.1159184466439618E-2</v>
      </c>
      <c r="M15" s="174">
        <v>363.78</v>
      </c>
      <c r="N15" s="427">
        <f>M15/M$17</f>
        <v>7.9492687275881879E-2</v>
      </c>
      <c r="O15" s="522">
        <v>369.16540800000001</v>
      </c>
      <c r="P15" s="427">
        <f>O15/O$17</f>
        <v>7.9595282108401513E-2</v>
      </c>
      <c r="Q15" s="884">
        <f t="shared" ref="Q15" si="13">O15/K15-1</f>
        <v>-1.9911235301303121E-2</v>
      </c>
      <c r="R15" s="883">
        <f>Q15-Q$29</f>
        <v>-3.9911235301303125E-2</v>
      </c>
      <c r="S15" s="881">
        <v>346.74679900000001</v>
      </c>
      <c r="T15" s="882">
        <f>S15/S$17</f>
        <v>7.8130616520788121E-2</v>
      </c>
      <c r="U15" s="522">
        <v>362.32969800000001</v>
      </c>
      <c r="V15" s="427">
        <f>U15/U$17</f>
        <v>8.146779290123661E-2</v>
      </c>
      <c r="W15" s="941">
        <f>S15/O15-1</f>
        <v>-6.072781607966915E-2</v>
      </c>
      <c r="X15" s="772">
        <f t="shared" ref="X15:X16" si="14">U15/O15-1</f>
        <v>-1.8516659068988361E-2</v>
      </c>
      <c r="Y15" s="594">
        <f t="shared" si="5"/>
        <v>-13.713251000000014</v>
      </c>
      <c r="Z15" s="601">
        <f>O15-K15</f>
        <v>-7.4998709999999846</v>
      </c>
      <c r="AA15" s="594">
        <f t="shared" si="12"/>
        <v>-22.418609000000004</v>
      </c>
      <c r="AC15" s="5"/>
      <c r="AD15" s="786"/>
      <c r="AE15" s="783"/>
      <c r="AF15" s="783"/>
      <c r="AG15" s="5"/>
    </row>
    <row r="16" spans="1:33" ht="14.9" customHeight="1" x14ac:dyDescent="0.25">
      <c r="A16" s="41" t="s">
        <v>748</v>
      </c>
      <c r="B16" s="47">
        <v>295.04000000000002</v>
      </c>
      <c r="C16" s="803">
        <v>306.352665</v>
      </c>
      <c r="D16" s="163">
        <v>735.05799999999999</v>
      </c>
      <c r="E16" s="827">
        <v>316.930228</v>
      </c>
      <c r="F16" s="111">
        <v>469.42503499999998</v>
      </c>
      <c r="G16" s="843">
        <v>324.45999999999998</v>
      </c>
      <c r="H16" s="132">
        <v>335.42712799999998</v>
      </c>
      <c r="I16" s="843">
        <v>333.85104200000001</v>
      </c>
      <c r="J16" s="166">
        <v>335.26870100000002</v>
      </c>
      <c r="K16" s="857">
        <v>359.28264300000001</v>
      </c>
      <c r="L16" s="431">
        <f>K16/K$17</f>
        <v>7.7413788646091192E-2</v>
      </c>
      <c r="M16" s="175">
        <v>347.76</v>
      </c>
      <c r="N16" s="431">
        <f>M16/M$17</f>
        <v>7.599201970163473E-2</v>
      </c>
      <c r="O16" s="526">
        <v>350.83755100000002</v>
      </c>
      <c r="P16" s="431">
        <f>O16/O$17</f>
        <v>7.5643636269587047E-2</v>
      </c>
      <c r="Q16" s="898">
        <f>O16/K16-1</f>
        <v>-2.3505427174226101E-2</v>
      </c>
      <c r="R16" s="899">
        <f>Q16-Q$29</f>
        <v>-4.3505427174226105E-2</v>
      </c>
      <c r="S16" s="900">
        <v>343.43599399999999</v>
      </c>
      <c r="T16" s="901">
        <f>S16/S$17</f>
        <v>7.7384610395926659E-2</v>
      </c>
      <c r="U16" s="522">
        <v>340.64385399999998</v>
      </c>
      <c r="V16" s="431">
        <f>U16/U$17</f>
        <v>7.6591852955843212E-2</v>
      </c>
      <c r="W16" s="947">
        <f>S16/O16-1</f>
        <v>-2.1096820961448381E-2</v>
      </c>
      <c r="X16" s="772">
        <f t="shared" si="14"/>
        <v>-2.9055319109783762E-2</v>
      </c>
      <c r="Y16" s="395">
        <f t="shared" si="5"/>
        <v>24.013941999999986</v>
      </c>
      <c r="Z16" s="602">
        <f>O16-K16</f>
        <v>-8.4450919999999883</v>
      </c>
      <c r="AA16" s="595">
        <f t="shared" si="12"/>
        <v>-7.4015570000000253</v>
      </c>
      <c r="AC16" s="5"/>
      <c r="AD16" s="785"/>
      <c r="AE16" s="786"/>
      <c r="AF16" s="786"/>
      <c r="AG16" s="5"/>
    </row>
    <row r="17" spans="1:33" ht="14.9" customHeight="1" x14ac:dyDescent="0.25">
      <c r="A17" s="314" t="s">
        <v>6</v>
      </c>
      <c r="B17" s="108">
        <f>B14+B12+B6</f>
        <v>3633.0919999999996</v>
      </c>
      <c r="C17" s="804">
        <v>3657.8121109999997</v>
      </c>
      <c r="D17" s="160">
        <f>D14+D12+D6</f>
        <v>4417.7790000000005</v>
      </c>
      <c r="E17" s="828">
        <v>3805.4690770000002</v>
      </c>
      <c r="F17" s="490">
        <f t="shared" ref="F17:K17" si="15">F14+F6</f>
        <v>4580.5469579999999</v>
      </c>
      <c r="G17" s="844">
        <f t="shared" si="15"/>
        <v>4136.2299999999996</v>
      </c>
      <c r="H17" s="490">
        <f t="shared" si="15"/>
        <v>4236.9248850000004</v>
      </c>
      <c r="I17" s="844">
        <f t="shared" si="15"/>
        <v>4422.7505540000002</v>
      </c>
      <c r="J17" s="504">
        <f t="shared" si="15"/>
        <v>4591.3452360000001</v>
      </c>
      <c r="K17" s="858">
        <f t="shared" si="15"/>
        <v>4641.0678159999998</v>
      </c>
      <c r="L17" s="432">
        <f>K17/K$17</f>
        <v>1</v>
      </c>
      <c r="M17" s="514">
        <f>M14+M6</f>
        <v>4576.2700000000004</v>
      </c>
      <c r="N17" s="432">
        <f>M17/M$17</f>
        <v>1</v>
      </c>
      <c r="O17" s="326">
        <f>O14+O6</f>
        <v>4638.0312780000004</v>
      </c>
      <c r="P17" s="432">
        <f>O17/O$17</f>
        <v>1</v>
      </c>
      <c r="Q17" s="902">
        <f>O17/K17-1</f>
        <v>-6.5427572282628077E-4</v>
      </c>
      <c r="R17" s="903">
        <f>Q17-Q$29</f>
        <v>-2.0654275722826281E-2</v>
      </c>
      <c r="S17" s="904">
        <f>S14+S6</f>
        <v>4438.0399699999998</v>
      </c>
      <c r="T17" s="905">
        <f>S17/S$17</f>
        <v>1</v>
      </c>
      <c r="U17" s="782">
        <f>U14+U6</f>
        <v>4447.5207329999994</v>
      </c>
      <c r="V17" s="432">
        <f>U17/U$17</f>
        <v>1</v>
      </c>
      <c r="W17" s="948">
        <f>S17/O17-1</f>
        <v>-4.3119870482253519E-2</v>
      </c>
      <c r="X17" s="780">
        <f>U17/O17-1</f>
        <v>-4.1075735280972969E-2</v>
      </c>
      <c r="Y17" s="87">
        <f t="shared" si="5"/>
        <v>49.722579999999653</v>
      </c>
      <c r="Z17" s="602">
        <f>O17-K17</f>
        <v>-3.036537999999382</v>
      </c>
      <c r="AA17" s="594">
        <f t="shared" si="12"/>
        <v>-199.99130800000057</v>
      </c>
      <c r="AC17" s="5"/>
      <c r="AD17" s="5"/>
      <c r="AE17" s="5"/>
      <c r="AF17" s="5"/>
      <c r="AG17" s="5"/>
    </row>
    <row r="18" spans="1:33" ht="12.5" x14ac:dyDescent="0.25">
      <c r="A18" s="38"/>
      <c r="B18" s="62"/>
      <c r="C18" s="803"/>
      <c r="D18" s="38"/>
      <c r="E18" s="808"/>
      <c r="G18" s="808"/>
      <c r="H18" s="107"/>
      <c r="I18" s="808"/>
      <c r="J18" s="505"/>
      <c r="K18" s="859"/>
      <c r="L18" s="1105"/>
      <c r="M18" s="515"/>
      <c r="N18" s="1092"/>
      <c r="O18" s="527"/>
      <c r="P18" s="433"/>
      <c r="Q18" s="906"/>
      <c r="R18" s="907"/>
      <c r="S18" s="908"/>
      <c r="T18" s="909"/>
      <c r="U18" s="527"/>
      <c r="V18" s="433"/>
      <c r="W18" s="949"/>
      <c r="X18" s="418"/>
      <c r="Y18" s="418"/>
      <c r="Z18" s="87"/>
    </row>
    <row r="19" spans="1:33" ht="10.5" x14ac:dyDescent="0.25">
      <c r="A19" s="91" t="s">
        <v>65</v>
      </c>
      <c r="B19" s="87">
        <v>456715</v>
      </c>
      <c r="C19" s="805">
        <v>478534.75182800001</v>
      </c>
      <c r="D19" s="133">
        <v>540699.17005099996</v>
      </c>
      <c r="E19" s="805">
        <v>514269.61758000002</v>
      </c>
      <c r="F19" s="87">
        <v>557118.85349000001</v>
      </c>
      <c r="G19" s="805">
        <v>522514.713827</v>
      </c>
      <c r="H19" s="496">
        <v>578436.79350399994</v>
      </c>
      <c r="I19" s="805">
        <v>577037.760396</v>
      </c>
      <c r="J19" s="506">
        <v>591887.37938467995</v>
      </c>
      <c r="K19" s="860">
        <v>582031.14784400002</v>
      </c>
      <c r="L19" s="1106"/>
      <c r="M19" s="506"/>
      <c r="N19" s="1093"/>
      <c r="O19" s="335">
        <v>582396.983244</v>
      </c>
      <c r="P19" s="434"/>
      <c r="Q19" s="910">
        <f>O19/K19-1</f>
        <v>6.2854952240121165E-4</v>
      </c>
      <c r="R19" s="911">
        <f>Q19-Q$29</f>
        <v>-1.9371450477598789E-2</v>
      </c>
      <c r="S19" s="912">
        <v>588258.885886</v>
      </c>
      <c r="T19" s="913"/>
      <c r="U19" s="335">
        <v>593890.07164900005</v>
      </c>
      <c r="V19" s="434"/>
      <c r="W19" s="950">
        <f>S19/O19-1</f>
        <v>1.0065132221923179E-2</v>
      </c>
      <c r="X19" s="789">
        <f>U19/O19-1</f>
        <v>1.9734113904544159E-2</v>
      </c>
      <c r="Y19" s="579"/>
    </row>
    <row r="20" spans="1:33" ht="10.5" x14ac:dyDescent="0.25">
      <c r="A20" s="89" t="s">
        <v>138</v>
      </c>
      <c r="B20" s="76"/>
      <c r="C20" s="806"/>
      <c r="D20" s="166">
        <f>D19-41819.503578</f>
        <v>498879.66647299996</v>
      </c>
      <c r="E20" s="803">
        <v>486399.66629000002</v>
      </c>
      <c r="F20" s="107">
        <f>F19-18848.652852-34352.366355</f>
        <v>503917.83428300003</v>
      </c>
      <c r="G20" s="803">
        <f>G19-13005.896116</f>
        <v>509508.81771099998</v>
      </c>
      <c r="H20" s="107">
        <f>H19-11593.620817-3274.246315</f>
        <v>563568.9263719999</v>
      </c>
      <c r="I20" s="803">
        <v>555822.70900399995</v>
      </c>
      <c r="J20" s="174">
        <f>J19-4126.39313771</f>
        <v>587760.9862469699</v>
      </c>
      <c r="K20" s="861" t="s">
        <v>95</v>
      </c>
      <c r="L20" s="1107"/>
      <c r="M20" s="473"/>
      <c r="N20" s="1094"/>
      <c r="O20" s="528"/>
      <c r="P20" s="435"/>
      <c r="Q20" s="914"/>
      <c r="R20" s="890"/>
      <c r="S20" s="915"/>
      <c r="T20" s="916"/>
      <c r="U20" s="528"/>
      <c r="V20" s="435"/>
      <c r="W20" s="951"/>
      <c r="X20" s="414"/>
      <c r="Y20" s="414"/>
    </row>
    <row r="21" spans="1:33" ht="13.4" customHeight="1" x14ac:dyDescent="0.25">
      <c r="A21" s="91" t="s">
        <v>61</v>
      </c>
      <c r="B21" s="90">
        <f>B17/B19</f>
        <v>7.9548339774257459E-3</v>
      </c>
      <c r="C21" s="807">
        <v>7.6437752891032017E-3</v>
      </c>
      <c r="D21" s="143">
        <f t="shared" ref="D21:I21" si="16">D17/D19</f>
        <v>8.1704933994688877E-3</v>
      </c>
      <c r="E21" s="829">
        <f t="shared" si="16"/>
        <v>7.3997548113135803E-3</v>
      </c>
      <c r="F21" s="491">
        <f t="shared" si="16"/>
        <v>8.2218487658526507E-3</v>
      </c>
      <c r="G21" s="807">
        <f t="shared" si="16"/>
        <v>7.91600674688267E-3</v>
      </c>
      <c r="H21" s="491">
        <f t="shared" si="16"/>
        <v>7.3247845444511846E-3</v>
      </c>
      <c r="I21" s="807">
        <f t="shared" si="16"/>
        <v>7.6645773596598389E-3</v>
      </c>
      <c r="J21" s="143">
        <f t="shared" ref="J21" si="17">J17/J19</f>
        <v>7.7571264330270322E-3</v>
      </c>
      <c r="K21" s="862">
        <f>K17/K19</f>
        <v>7.9739165733513813E-3</v>
      </c>
      <c r="L21" s="1108"/>
      <c r="M21" s="516"/>
      <c r="N21" s="1095"/>
      <c r="O21" s="320">
        <f>O17/O19</f>
        <v>7.963693857351007E-3</v>
      </c>
      <c r="P21" s="436"/>
      <c r="Q21" s="917"/>
      <c r="R21" s="890"/>
      <c r="S21" s="918">
        <f>S17/S19</f>
        <v>7.5443653746355092E-3</v>
      </c>
      <c r="T21" s="919"/>
      <c r="U21" s="320">
        <f>U17/U19</f>
        <v>7.4887945519125729E-3</v>
      </c>
      <c r="V21" s="436"/>
      <c r="W21" s="817"/>
      <c r="X21" s="414"/>
      <c r="Y21" s="414"/>
    </row>
    <row r="22" spans="1:33" x14ac:dyDescent="0.2">
      <c r="A22" s="89" t="s">
        <v>138</v>
      </c>
      <c r="C22" s="808"/>
      <c r="D22" s="252">
        <f t="shared" ref="D22:J22" si="18">D17/D20</f>
        <v>8.8554000030367976E-3</v>
      </c>
      <c r="E22" s="830">
        <f t="shared" si="18"/>
        <v>7.8237493582717886E-3</v>
      </c>
      <c r="F22" s="418">
        <f t="shared" si="18"/>
        <v>9.0898687174218295E-3</v>
      </c>
      <c r="G22" s="830">
        <f t="shared" si="18"/>
        <v>8.1180734390079255E-3</v>
      </c>
      <c r="H22" s="418">
        <f t="shared" si="18"/>
        <v>7.5180243032123744E-3</v>
      </c>
      <c r="I22" s="830">
        <f t="shared" si="18"/>
        <v>7.9571246052995877E-3</v>
      </c>
      <c r="J22" s="164">
        <f t="shared" si="18"/>
        <v>7.8115855652773347E-3</v>
      </c>
      <c r="K22" s="863" t="s">
        <v>95</v>
      </c>
      <c r="L22" s="1109"/>
      <c r="M22" s="517"/>
      <c r="N22" s="1096"/>
      <c r="O22" s="529"/>
      <c r="P22" s="437"/>
      <c r="Q22" s="917"/>
      <c r="R22" s="890"/>
      <c r="S22" s="920"/>
      <c r="T22" s="921"/>
      <c r="U22" s="529"/>
      <c r="V22" s="437"/>
      <c r="W22" s="817"/>
      <c r="X22" s="414"/>
      <c r="Y22" s="414"/>
    </row>
    <row r="23" spans="1:33" x14ac:dyDescent="0.2">
      <c r="A23" s="421"/>
      <c r="B23" s="408"/>
      <c r="C23" s="809"/>
      <c r="D23" s="177"/>
      <c r="E23" s="831"/>
      <c r="F23" s="422"/>
      <c r="G23" s="809"/>
      <c r="H23" s="408"/>
      <c r="I23" s="809"/>
      <c r="J23" s="507"/>
      <c r="K23" s="864"/>
      <c r="L23" s="1110"/>
      <c r="M23" s="518"/>
      <c r="N23" s="1097"/>
      <c r="O23" s="423"/>
      <c r="P23" s="438"/>
      <c r="Q23" s="922"/>
      <c r="R23" s="894"/>
      <c r="S23" s="923"/>
      <c r="T23" s="924"/>
      <c r="U23" s="423"/>
      <c r="V23" s="438"/>
      <c r="W23" s="952"/>
      <c r="X23" s="414"/>
      <c r="Y23" s="414"/>
    </row>
    <row r="24" spans="1:33" x14ac:dyDescent="0.2">
      <c r="A24" s="141"/>
      <c r="B24" s="66"/>
      <c r="C24" s="810" t="s">
        <v>752</v>
      </c>
      <c r="D24" s="161"/>
      <c r="E24" s="810" t="s">
        <v>799</v>
      </c>
      <c r="G24" s="808"/>
      <c r="H24" s="5"/>
      <c r="I24" s="808"/>
      <c r="J24" s="508"/>
      <c r="K24" s="865"/>
      <c r="L24" s="1111"/>
      <c r="M24" s="519"/>
      <c r="N24" s="1098"/>
      <c r="O24" s="283"/>
      <c r="P24" s="439"/>
      <c r="Q24" s="925"/>
      <c r="R24" s="890"/>
      <c r="S24" s="926"/>
      <c r="T24" s="927"/>
      <c r="U24" s="283"/>
      <c r="V24" s="439"/>
      <c r="W24" s="953"/>
      <c r="X24" s="414"/>
      <c r="Y24" s="414"/>
    </row>
    <row r="25" spans="1:33" ht="10.5" x14ac:dyDescent="0.25">
      <c r="A25" s="38" t="s">
        <v>794</v>
      </c>
      <c r="B25" s="55">
        <v>1.7875993694119931E-2</v>
      </c>
      <c r="C25" s="811">
        <f>(C17-B17)/B17</f>
        <v>6.8041522207530365E-3</v>
      </c>
      <c r="D25" s="164">
        <f>(D17-B17)/B17</f>
        <v>0.21598324512563979</v>
      </c>
      <c r="E25" s="830">
        <f>(E17-C17)/C17</f>
        <v>4.0367564412605354E-2</v>
      </c>
      <c r="F25" s="311">
        <f>F17/D17-1</f>
        <v>3.6843843478815863E-2</v>
      </c>
      <c r="G25" s="830">
        <f>(G17-E17)/E17</f>
        <v>8.6917254169557229E-2</v>
      </c>
      <c r="H25" s="419">
        <f>(H17-F17)/F17</f>
        <v>-7.5017694644491748E-2</v>
      </c>
      <c r="I25" s="830">
        <f>I17/G17-1</f>
        <v>6.9270943346960934E-2</v>
      </c>
      <c r="J25" s="252">
        <f>J17/H17-1</f>
        <v>8.365037394331809E-2</v>
      </c>
      <c r="K25" s="866">
        <f>K17/I17-1</f>
        <v>4.9362327658870608E-2</v>
      </c>
      <c r="L25" s="1112"/>
      <c r="M25" s="252">
        <f>M17/J17-1</f>
        <v>-3.2834028427654038E-3</v>
      </c>
      <c r="N25" s="1099"/>
      <c r="O25" s="531">
        <f>O17/K17-1</f>
        <v>-6.5427572282628077E-4</v>
      </c>
      <c r="P25" s="436"/>
      <c r="Q25" s="921">
        <f>O17/K17-1</f>
        <v>-6.5427572282628077E-4</v>
      </c>
      <c r="R25" s="883"/>
      <c r="S25" s="928">
        <f>S17/O17-1</f>
        <v>-4.3119870482253519E-2</v>
      </c>
      <c r="T25" s="919"/>
      <c r="U25" s="775"/>
      <c r="V25" s="436"/>
      <c r="W25" s="847">
        <f>S17/O17-1</f>
        <v>-4.3119870482253519E-2</v>
      </c>
      <c r="X25" s="578"/>
      <c r="Y25" s="578"/>
    </row>
    <row r="26" spans="1:33" ht="12.5" x14ac:dyDescent="0.25">
      <c r="A26" s="177" t="s">
        <v>795</v>
      </c>
      <c r="B26" s="406">
        <f>B25-B29</f>
        <v>6.8759936941199321E-3</v>
      </c>
      <c r="C26" s="812"/>
      <c r="D26" s="406">
        <f>D25-D29</f>
        <v>0.21098324512563979</v>
      </c>
      <c r="E26" s="832"/>
      <c r="F26" s="406">
        <f>F25-F29</f>
        <v>2.0843843478815863E-2</v>
      </c>
      <c r="G26" s="832"/>
      <c r="H26" s="407">
        <f>H25-H29</f>
        <v>-0.12701769464449175</v>
      </c>
      <c r="I26" s="832"/>
      <c r="J26" s="406">
        <f>J25-J29</f>
        <v>3.4650373943318089E-2</v>
      </c>
      <c r="K26" s="867">
        <f>K25-K29</f>
        <v>2.9362327658870608E-2</v>
      </c>
      <c r="L26" s="1113"/>
      <c r="M26" s="406">
        <f>M25-M29</f>
        <v>-3.2834028427654038E-3</v>
      </c>
      <c r="N26" s="1100"/>
      <c r="O26" s="532">
        <f>O25-O29</f>
        <v>-2.0654275722826281E-2</v>
      </c>
      <c r="P26" s="440"/>
      <c r="Q26" s="929">
        <f>Q25-Q29</f>
        <v>-2.0654275722826281E-2</v>
      </c>
      <c r="R26" s="894"/>
      <c r="S26" s="869"/>
      <c r="T26" s="930"/>
      <c r="U26" s="776"/>
      <c r="V26" s="440"/>
      <c r="W26" s="954"/>
      <c r="X26" s="414"/>
      <c r="Y26" s="414"/>
    </row>
    <row r="27" spans="1:33" ht="12.5" x14ac:dyDescent="0.25">
      <c r="A27" s="38" t="s">
        <v>796</v>
      </c>
      <c r="B27" s="409">
        <v>1.2999999999999999E-2</v>
      </c>
      <c r="C27" s="813"/>
      <c r="D27" s="252">
        <f>D19/B19-1</f>
        <v>0.18388747917410186</v>
      </c>
      <c r="E27" s="833"/>
      <c r="F27" s="252">
        <f>F19/D19-1</f>
        <v>3.0367502575325389E-2</v>
      </c>
      <c r="G27" s="845"/>
      <c r="H27" s="252">
        <f>H19/F19-1</f>
        <v>3.8264617828774661E-2</v>
      </c>
      <c r="I27" s="845"/>
      <c r="J27" s="252">
        <f>J19/I19-1</f>
        <v>2.5734224010728779E-2</v>
      </c>
      <c r="K27" s="868">
        <f>K19/I19-1</f>
        <v>8.6534847296184658E-3</v>
      </c>
      <c r="L27" s="1114"/>
      <c r="M27" s="520"/>
      <c r="N27" s="1101"/>
      <c r="O27" s="321">
        <f>O19/K19-1</f>
        <v>6.2854952240121165E-4</v>
      </c>
      <c r="P27" s="441"/>
      <c r="Q27" s="931">
        <f>O19/K19-1</f>
        <v>6.2854952240121165E-4</v>
      </c>
      <c r="R27" s="890"/>
      <c r="S27" s="868">
        <f>S19/O19-1</f>
        <v>1.0065132221923179E-2</v>
      </c>
      <c r="T27" s="932"/>
      <c r="U27" s="777"/>
      <c r="V27" s="441"/>
      <c r="W27" s="955">
        <f>S19/O19-1</f>
        <v>1.0065132221923179E-2</v>
      </c>
      <c r="X27" s="414"/>
      <c r="Y27" s="414"/>
    </row>
    <row r="28" spans="1:33" ht="12.5" x14ac:dyDescent="0.25">
      <c r="A28" s="177" t="s">
        <v>797</v>
      </c>
      <c r="B28" s="410">
        <f>B27-B29</f>
        <v>2E-3</v>
      </c>
      <c r="C28" s="812"/>
      <c r="D28" s="406">
        <f>D27-D29</f>
        <v>0.17888747917410186</v>
      </c>
      <c r="E28" s="832"/>
      <c r="F28" s="406">
        <f>F27-F29</f>
        <v>1.4367502575325389E-2</v>
      </c>
      <c r="G28" s="832"/>
      <c r="H28" s="407">
        <f>H27-H29</f>
        <v>-1.3735382171225337E-2</v>
      </c>
      <c r="I28" s="832"/>
      <c r="J28" s="407">
        <f>J27-J29</f>
        <v>-2.3265775989271223E-2</v>
      </c>
      <c r="K28" s="869">
        <f>K27-K29</f>
        <v>-1.1346515270381535E-2</v>
      </c>
      <c r="L28" s="954"/>
      <c r="M28" s="521"/>
      <c r="N28" s="1102"/>
      <c r="O28" s="532">
        <f>O27-O29</f>
        <v>-1.9371450477598789E-2</v>
      </c>
      <c r="P28" s="440"/>
      <c r="Q28" s="929">
        <f>Q27-Q29</f>
        <v>-1.9371450477598789E-2</v>
      </c>
      <c r="R28" s="894"/>
      <c r="S28" s="869"/>
      <c r="T28" s="930"/>
      <c r="U28" s="776"/>
      <c r="V28" s="440"/>
      <c r="W28" s="954"/>
      <c r="X28" s="414"/>
      <c r="Y28" s="414"/>
    </row>
    <row r="29" spans="1:33" x14ac:dyDescent="0.2">
      <c r="A29" s="142" t="s">
        <v>139</v>
      </c>
      <c r="B29" s="112">
        <v>1.0999999999999999E-2</v>
      </c>
      <c r="C29" s="814">
        <v>5.0000000000000001E-3</v>
      </c>
      <c r="D29" s="134">
        <v>5.0000000000000001E-3</v>
      </c>
      <c r="E29" s="814">
        <v>1.6E-2</v>
      </c>
      <c r="F29" s="112">
        <v>1.6E-2</v>
      </c>
      <c r="G29" s="814">
        <v>5.1999999999999998E-2</v>
      </c>
      <c r="H29" s="497">
        <v>5.1999999999999998E-2</v>
      </c>
      <c r="I29" s="814">
        <v>4.9000000000000002E-2</v>
      </c>
      <c r="J29" s="134">
        <v>4.9000000000000002E-2</v>
      </c>
      <c r="K29" s="814">
        <v>0.02</v>
      </c>
      <c r="L29" s="1115"/>
      <c r="M29" s="134"/>
      <c r="N29" s="497"/>
      <c r="O29" s="336">
        <v>0.02</v>
      </c>
      <c r="P29" s="442" t="s">
        <v>732</v>
      </c>
      <c r="Q29" s="933">
        <f>K29</f>
        <v>0.02</v>
      </c>
      <c r="R29" s="890"/>
      <c r="S29" s="934"/>
      <c r="T29" s="935"/>
      <c r="U29" s="778"/>
      <c r="V29" s="442"/>
      <c r="W29" s="956"/>
      <c r="X29" s="414"/>
      <c r="Y29" s="414"/>
    </row>
    <row r="30" spans="1:33" x14ac:dyDescent="0.2">
      <c r="A30" s="66"/>
      <c r="B30" s="88"/>
      <c r="C30" s="815"/>
      <c r="D30" s="88"/>
      <c r="E30" s="834"/>
      <c r="F30" s="136"/>
      <c r="G30" s="846"/>
      <c r="H30" s="195"/>
    </row>
    <row r="31" spans="1:33" ht="12.5" x14ac:dyDescent="0.25">
      <c r="A31" s="3" t="s">
        <v>829</v>
      </c>
      <c r="E31" s="835"/>
      <c r="F31" s="93"/>
      <c r="G31" s="835"/>
      <c r="H31" s="93"/>
    </row>
    <row r="32" spans="1:33" x14ac:dyDescent="0.2">
      <c r="A32" s="92" t="s">
        <v>743</v>
      </c>
      <c r="B32" s="66"/>
      <c r="C32" s="816"/>
      <c r="D32" s="66"/>
    </row>
    <row r="33" spans="1:17" x14ac:dyDescent="0.2">
      <c r="A33" s="92"/>
      <c r="B33" s="66"/>
      <c r="C33" s="816"/>
      <c r="D33" s="66"/>
    </row>
    <row r="34" spans="1:17" ht="12" x14ac:dyDescent="0.2">
      <c r="A34" s="3" t="s">
        <v>749</v>
      </c>
    </row>
    <row r="35" spans="1:17" ht="12" x14ac:dyDescent="0.2">
      <c r="A35" s="3" t="s">
        <v>750</v>
      </c>
    </row>
    <row r="36" spans="1:17" ht="12" x14ac:dyDescent="0.2">
      <c r="A36" s="3" t="s">
        <v>869</v>
      </c>
    </row>
    <row r="37" spans="1:17" ht="12" x14ac:dyDescent="0.2">
      <c r="A37" s="3" t="s">
        <v>751</v>
      </c>
    </row>
    <row r="39" spans="1:17" ht="31.4" customHeight="1" x14ac:dyDescent="0.2">
      <c r="A39" s="1055" t="s">
        <v>127</v>
      </c>
      <c r="B39" s="1055"/>
      <c r="C39" s="1055"/>
      <c r="D39" s="1055"/>
    </row>
    <row r="40" spans="1:17" ht="24" customHeight="1" x14ac:dyDescent="0.2">
      <c r="A40" s="1055" t="s">
        <v>128</v>
      </c>
      <c r="B40" s="1055"/>
      <c r="C40" s="1055"/>
      <c r="D40" s="1055"/>
    </row>
    <row r="41" spans="1:17" ht="43.4" customHeight="1" x14ac:dyDescent="0.2">
      <c r="A41" s="1055" t="s">
        <v>124</v>
      </c>
      <c r="B41" s="1055"/>
      <c r="C41" s="1055"/>
      <c r="D41" s="1055"/>
    </row>
    <row r="44" spans="1:17" x14ac:dyDescent="0.2">
      <c r="H44" s="3" t="s">
        <v>930</v>
      </c>
    </row>
    <row r="45" spans="1:17" x14ac:dyDescent="0.2">
      <c r="H45" s="767"/>
    </row>
    <row r="46" spans="1:17" x14ac:dyDescent="0.2">
      <c r="H46" s="768">
        <v>1</v>
      </c>
    </row>
    <row r="48" spans="1:17" ht="52.5" x14ac:dyDescent="0.2">
      <c r="A48" s="414"/>
      <c r="B48" s="414"/>
      <c r="C48" s="817"/>
      <c r="D48" s="414"/>
      <c r="E48" s="817"/>
      <c r="F48" s="414"/>
      <c r="G48" s="817"/>
      <c r="H48" s="30" t="s">
        <v>931</v>
      </c>
      <c r="I48" s="848" t="s">
        <v>932</v>
      </c>
      <c r="J48" s="30" t="s">
        <v>933</v>
      </c>
      <c r="K48" s="848" t="s">
        <v>934</v>
      </c>
      <c r="L48" s="848"/>
      <c r="M48" s="30" t="s">
        <v>935</v>
      </c>
      <c r="N48" s="30"/>
      <c r="O48" s="30" t="s">
        <v>936</v>
      </c>
      <c r="P48" s="30" t="s">
        <v>937</v>
      </c>
      <c r="Q48" s="848" t="s">
        <v>938</v>
      </c>
    </row>
    <row r="49" spans="1:17" ht="31.5" x14ac:dyDescent="0.2">
      <c r="A49" s="414"/>
      <c r="B49" s="415"/>
      <c r="C49" s="818"/>
      <c r="D49" s="416"/>
      <c r="E49" s="818"/>
      <c r="F49" s="416"/>
      <c r="G49" s="818"/>
      <c r="H49" s="769" t="s">
        <v>939</v>
      </c>
      <c r="I49" s="849" t="s">
        <v>940</v>
      </c>
      <c r="J49" s="770" t="s">
        <v>941</v>
      </c>
      <c r="K49" s="849" t="s">
        <v>942</v>
      </c>
      <c r="L49" s="849"/>
      <c r="M49" s="770" t="s">
        <v>943</v>
      </c>
      <c r="N49" s="770"/>
      <c r="O49" s="770" t="s">
        <v>944</v>
      </c>
      <c r="P49" s="771" t="s">
        <v>945</v>
      </c>
      <c r="Q49" s="849" t="s">
        <v>946</v>
      </c>
    </row>
    <row r="50" spans="1:17" ht="21" x14ac:dyDescent="0.25">
      <c r="A50" s="414"/>
      <c r="B50" s="417"/>
      <c r="C50" s="819"/>
      <c r="D50" s="417"/>
      <c r="E50" s="836"/>
      <c r="F50" s="418"/>
      <c r="G50" s="847"/>
      <c r="H50" s="769" t="s">
        <v>947</v>
      </c>
      <c r="I50" s="849">
        <v>861</v>
      </c>
      <c r="J50" s="770">
        <v>915</v>
      </c>
      <c r="K50" s="849" t="s">
        <v>948</v>
      </c>
      <c r="L50" s="849"/>
      <c r="M50" s="770" t="s">
        <v>949</v>
      </c>
      <c r="N50" s="770"/>
      <c r="O50" s="770" t="s">
        <v>949</v>
      </c>
      <c r="P50" s="771">
        <v>998</v>
      </c>
      <c r="Q50" s="849" t="s">
        <v>950</v>
      </c>
    </row>
    <row r="51" spans="1:17" ht="73.5" x14ac:dyDescent="0.25">
      <c r="A51" s="414"/>
      <c r="B51" s="420"/>
      <c r="C51" s="820"/>
      <c r="D51" s="418"/>
      <c r="E51" s="820"/>
      <c r="F51" s="419"/>
      <c r="G51" s="847"/>
      <c r="H51" s="769" t="s">
        <v>951</v>
      </c>
      <c r="I51" s="849">
        <v>577</v>
      </c>
      <c r="J51" s="770">
        <v>748</v>
      </c>
      <c r="K51" s="849">
        <v>800</v>
      </c>
      <c r="L51" s="849"/>
      <c r="M51" s="770">
        <v>824</v>
      </c>
      <c r="N51" s="770"/>
      <c r="O51" s="770">
        <v>760</v>
      </c>
      <c r="P51" s="771">
        <v>741</v>
      </c>
      <c r="Q51" s="849" t="s">
        <v>952</v>
      </c>
    </row>
    <row r="52" spans="1:17" ht="94.5" x14ac:dyDescent="0.2">
      <c r="H52" s="769" t="s">
        <v>953</v>
      </c>
      <c r="I52" s="849">
        <v>565</v>
      </c>
      <c r="J52" s="770">
        <v>585</v>
      </c>
      <c r="K52" s="849">
        <v>615</v>
      </c>
      <c r="L52" s="849"/>
      <c r="M52" s="770">
        <v>650</v>
      </c>
      <c r="N52" s="770"/>
      <c r="O52" s="770">
        <v>663</v>
      </c>
      <c r="P52" s="771">
        <v>668</v>
      </c>
      <c r="Q52" s="849" t="s">
        <v>954</v>
      </c>
    </row>
    <row r="53" spans="1:17" ht="12.5" x14ac:dyDescent="0.25">
      <c r="H53" s="769" t="s">
        <v>6</v>
      </c>
      <c r="I53" s="848"/>
      <c r="J53" s="30" t="s">
        <v>955</v>
      </c>
      <c r="K53" s="848" t="s">
        <v>956</v>
      </c>
      <c r="L53" s="848"/>
      <c r="M53" s="30" t="s">
        <v>957</v>
      </c>
      <c r="N53" s="30"/>
      <c r="O53" s="30">
        <v>3717</v>
      </c>
      <c r="P53" s="30">
        <v>3544</v>
      </c>
      <c r="Q53" s="936">
        <f>P53/O53-1</f>
        <v>-4.6542910949690652E-2</v>
      </c>
    </row>
  </sheetData>
  <customSheetViews>
    <customSheetView guid="{B5EA72E7-EF27-46AE-B0E4-CAECE2734832}" showPageBreaks="1" fitToPage="1" printArea="1">
      <selection activeCell="A23" sqref="A23"/>
      <pageMargins left="0.74791666666666701" right="0.74791666666666701" top="0.98402777777777795" bottom="0.98402777777777795" header="0.51180555555555496" footer="0.51180555555555496"/>
      <pageSetup paperSize="9" firstPageNumber="0" orientation="portrait" r:id="rId1"/>
    </customSheetView>
    <customSheetView guid="{D7C60D54-F168-4802-9C20-D9E241B3AC75}" showPageBreaks="1" fitToPage="1" printArea="1">
      <selection activeCell="B2" sqref="B2"/>
      <pageMargins left="0.74791666666666701" right="0.74791666666666701" top="0.98402777777777795" bottom="0.98402777777777795" header="0.51180555555555496" footer="0.51180555555555496"/>
      <pageSetup paperSize="9" firstPageNumber="0" orientation="portrait" r:id="rId2"/>
    </customSheetView>
    <customSheetView guid="{D4A8130B-E15E-430B-BC62-FA365B34E0AF}" showPageBreaks="1" fitToPage="1" printArea="1">
      <selection activeCell="E8" sqref="E8"/>
      <pageMargins left="0.74791666666666701" right="0.74791666666666701" top="0.98402777777777795" bottom="0.98402777777777795" header="0.51180555555555496" footer="0.51180555555555496"/>
      <pageSetup paperSize="9" firstPageNumber="0" orientation="portrait" r:id="rId3"/>
    </customSheetView>
    <customSheetView guid="{EF36F323-8F00-4DED-B12A-4D51E72FA301}" fitToPage="1">
      <pageMargins left="0.74791666666666701" right="0.74791666666666701" top="0.98402777777777795" bottom="0.98402777777777795" header="0.51180555555555496" footer="0.51180555555555496"/>
      <pageSetup paperSize="9" firstPageNumber="0" orientation="portrait" r:id="rId4"/>
    </customSheetView>
    <customSheetView guid="{A4014A12-8077-400D-909C-C8C0AE2652D2}" fitToPage="1">
      <selection activeCell="B17" sqref="B17"/>
      <pageMargins left="0.74791666666666701" right="0.74791666666666701" top="0.98402777777777795" bottom="0.98402777777777795" header="0.51180555555555496" footer="0.51180555555555496"/>
      <pageSetup paperSize="9" firstPageNumber="0" orientation="portrait" r:id="rId5"/>
    </customSheetView>
    <customSheetView guid="{254CA843-A8D1-434E-AB9C-F327B1D1E748}" showPageBreaks="1" fitToPage="1" printArea="1">
      <selection activeCell="A23" sqref="A23"/>
      <pageMargins left="0.74791666666666701" right="0.74791666666666701" top="0.98402777777777795" bottom="0.98402777777777795" header="0.51180555555555496" footer="0.51180555555555496"/>
      <pageSetup paperSize="9" firstPageNumber="0" orientation="portrait" r:id="rId6"/>
    </customSheetView>
  </customSheetViews>
  <mergeCells count="7">
    <mergeCell ref="U4:V4"/>
    <mergeCell ref="S4:T4"/>
    <mergeCell ref="A41:D41"/>
    <mergeCell ref="Q3:R3"/>
    <mergeCell ref="A39:D39"/>
    <mergeCell ref="A40:D40"/>
    <mergeCell ref="O4:P4"/>
  </mergeCells>
  <phoneticPr fontId="5" type="noConversion"/>
  <hyperlinks>
    <hyperlink ref="H46" r:id="rId7" display="https://culture.newstank.fr/" xr:uid="{3B85C839-F3DD-4B92-AC4A-63BAB25059D6}"/>
  </hyperlinks>
  <pageMargins left="0.74791666666666701" right="0.74791666666666701" top="0.98402777777777795" bottom="0.98402777777777795" header="0.51180555555555496" footer="0.51180555555555496"/>
  <pageSetup paperSize="9" firstPageNumber="0" orientation="portrait" r:id="rId8"/>
  <headerFooter>
    <oddFooter>&amp;C&amp;1#&amp;"Calibri"&amp;12&amp;K008000C1 Données Internes</oddFooter>
  </headerFooter>
  <legacy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T177"/>
  <sheetViews>
    <sheetView zoomScale="110" zoomScaleNormal="110" workbookViewId="0"/>
  </sheetViews>
  <sheetFormatPr baseColWidth="10" defaultColWidth="11.54296875" defaultRowHeight="10" x14ac:dyDescent="0.2"/>
  <cols>
    <col min="1" max="1" width="95.453125" style="3" customWidth="1"/>
    <col min="2" max="2" width="9.453125" style="3" hidden="1" customWidth="1"/>
    <col min="3" max="3" width="9.90625" style="795" customWidth="1"/>
    <col min="4" max="4" width="11.453125" style="795" customWidth="1"/>
    <col min="5" max="5" width="11.54296875" style="795" customWidth="1"/>
    <col min="6" max="6" width="17.54296875" style="795" bestFit="1" customWidth="1"/>
    <col min="7" max="7" width="5.90625" style="795" bestFit="1" customWidth="1"/>
    <col min="8" max="8" width="6.90625" style="795" bestFit="1" customWidth="1"/>
    <col min="9" max="9" width="12.54296875" style="795" customWidth="1"/>
    <col min="10" max="10" width="6.453125" style="795" customWidth="1"/>
    <col min="11" max="11" width="6.54296875" style="795" customWidth="1"/>
    <col min="12" max="12" width="9.90625" style="3" customWidth="1"/>
    <col min="13" max="13" width="8.08984375" style="3" customWidth="1"/>
    <col min="14" max="14" width="11.90625" style="3" customWidth="1"/>
    <col min="15" max="15" width="6.453125" style="3" customWidth="1"/>
    <col min="16" max="16" width="6.54296875" style="3" customWidth="1"/>
    <col min="17" max="17" width="18" style="3" bestFit="1" customWidth="1"/>
    <col min="18" max="18" width="11.54296875" style="3"/>
    <col min="19" max="19" width="9.90625" style="3" customWidth="1"/>
    <col min="20" max="20" width="10.08984375" style="3" customWidth="1"/>
    <col min="21" max="16384" width="11.54296875" style="3"/>
  </cols>
  <sheetData>
    <row r="1" spans="1:20" ht="10.5" x14ac:dyDescent="0.25">
      <c r="A1" s="148" t="s">
        <v>800</v>
      </c>
    </row>
    <row r="2" spans="1:20" ht="10.5" x14ac:dyDescent="0.25">
      <c r="A2" s="148" t="s">
        <v>914</v>
      </c>
    </row>
    <row r="3" spans="1:20" ht="10.5" x14ac:dyDescent="0.25">
      <c r="A3" s="148" t="s">
        <v>812</v>
      </c>
    </row>
    <row r="4" spans="1:20" ht="10.5" x14ac:dyDescent="0.25">
      <c r="A4" s="1"/>
      <c r="E4" s="957"/>
      <c r="F4" s="957"/>
    </row>
    <row r="5" spans="1:20" ht="10.5" x14ac:dyDescent="0.25">
      <c r="A5" s="29" t="s">
        <v>108</v>
      </c>
      <c r="C5" s="958"/>
      <c r="F5" s="958" t="s">
        <v>775</v>
      </c>
      <c r="G5" s="959"/>
      <c r="H5" s="890"/>
      <c r="I5" s="1056" t="s">
        <v>767</v>
      </c>
      <c r="J5" s="1056"/>
      <c r="K5" s="1056"/>
      <c r="L5" s="533" t="s">
        <v>775</v>
      </c>
      <c r="M5" s="38"/>
      <c r="N5" s="1059" t="s">
        <v>838</v>
      </c>
      <c r="O5" s="1059"/>
      <c r="P5" s="1059"/>
      <c r="Q5" s="533" t="s">
        <v>775</v>
      </c>
      <c r="R5" s="1060" t="s">
        <v>839</v>
      </c>
      <c r="S5" s="1061"/>
      <c r="T5" s="1062"/>
    </row>
    <row r="6" spans="1:20" ht="20.5" x14ac:dyDescent="0.25">
      <c r="A6" s="58" t="s">
        <v>112</v>
      </c>
      <c r="B6" s="95" t="s">
        <v>96</v>
      </c>
      <c r="C6" s="960" t="s">
        <v>122</v>
      </c>
      <c r="D6" s="960" t="s">
        <v>694</v>
      </c>
      <c r="E6" s="960" t="s">
        <v>708</v>
      </c>
      <c r="F6" s="961" t="s">
        <v>755</v>
      </c>
      <c r="G6" s="962" t="s">
        <v>129</v>
      </c>
      <c r="H6" s="894" t="s">
        <v>830</v>
      </c>
      <c r="I6" s="963" t="s">
        <v>757</v>
      </c>
      <c r="J6" s="964" t="s">
        <v>756</v>
      </c>
      <c r="K6" s="964" t="s">
        <v>6</v>
      </c>
      <c r="L6" s="537" t="s">
        <v>831</v>
      </c>
      <c r="M6" s="538" t="s">
        <v>129</v>
      </c>
      <c r="N6" s="539" t="s">
        <v>757</v>
      </c>
      <c r="O6" s="540" t="s">
        <v>756</v>
      </c>
      <c r="P6" s="540" t="s">
        <v>6</v>
      </c>
      <c r="Q6" s="684" t="s">
        <v>832</v>
      </c>
      <c r="R6" s="685" t="s">
        <v>757</v>
      </c>
      <c r="S6" s="686" t="s">
        <v>756</v>
      </c>
      <c r="T6" s="687" t="s">
        <v>6</v>
      </c>
    </row>
    <row r="7" spans="1:20" ht="32.4" customHeight="1" x14ac:dyDescent="0.25">
      <c r="A7" s="254" t="s">
        <v>833</v>
      </c>
      <c r="B7" s="65">
        <v>557.65800000000002</v>
      </c>
      <c r="C7" s="965">
        <f>SUM(C9:C24)</f>
        <v>573.4100000000002</v>
      </c>
      <c r="D7" s="965">
        <f>SUM(D9:D25)</f>
        <v>577.20700000000022</v>
      </c>
      <c r="E7" s="965">
        <f>SUM(E9:E25)</f>
        <v>609.60798800000009</v>
      </c>
      <c r="F7" s="966">
        <f>SUM(F9:F25)</f>
        <v>649.85599999999999</v>
      </c>
      <c r="G7" s="967">
        <f>F7/F$76</f>
        <v>0.40542845503145258</v>
      </c>
      <c r="H7" s="890"/>
      <c r="I7" s="968">
        <f>SUM(I9:I26)</f>
        <v>10085</v>
      </c>
      <c r="J7" s="968">
        <f t="shared" ref="J7:K7" si="0">SUM(J9:J26)</f>
        <v>486</v>
      </c>
      <c r="K7" s="969">
        <f t="shared" si="0"/>
        <v>10571</v>
      </c>
      <c r="L7" s="335">
        <f>SUM(L9:L26)</f>
        <v>673.03672500000016</v>
      </c>
      <c r="M7" s="541">
        <f>L7/L$76</f>
        <v>0.41239044050999096</v>
      </c>
      <c r="N7" s="542">
        <f>SUM(N9:N26)</f>
        <v>10322</v>
      </c>
      <c r="O7" s="542">
        <f>SUM(O9:O26)</f>
        <v>486</v>
      </c>
      <c r="P7" s="543">
        <f t="shared" ref="P7" si="1">SUM(P9:P26)</f>
        <v>10808</v>
      </c>
      <c r="Q7" s="682">
        <f>SUM(Q9:Q26)</f>
        <v>610.22053800000015</v>
      </c>
      <c r="R7" s="688">
        <f>SUM(R9:R26)</f>
        <v>10291</v>
      </c>
      <c r="S7" s="349">
        <f>SUM(S9:S26)</f>
        <v>464</v>
      </c>
      <c r="T7" s="689">
        <f t="shared" ref="T7" si="2">SUM(T9:T26)</f>
        <v>10755</v>
      </c>
    </row>
    <row r="8" spans="1:20" x14ac:dyDescent="0.2">
      <c r="A8" s="72" t="s">
        <v>72</v>
      </c>
      <c r="B8" s="65"/>
      <c r="C8" s="965"/>
      <c r="D8" s="965"/>
      <c r="E8" s="965"/>
      <c r="F8" s="965"/>
      <c r="G8" s="970" t="s">
        <v>758</v>
      </c>
      <c r="H8" s="890"/>
      <c r="L8" s="544"/>
      <c r="M8" s="545" t="s">
        <v>758</v>
      </c>
      <c r="N8" s="546"/>
      <c r="O8" s="546"/>
      <c r="P8" s="546"/>
      <c r="Q8" s="690"/>
      <c r="R8" s="690"/>
      <c r="S8" s="691"/>
      <c r="T8" s="692"/>
    </row>
    <row r="9" spans="1:20" ht="12" x14ac:dyDescent="0.2">
      <c r="A9" s="61" t="s">
        <v>705</v>
      </c>
      <c r="B9" s="65">
        <v>81.588999999999999</v>
      </c>
      <c r="C9" s="965">
        <v>86.588999999999999</v>
      </c>
      <c r="D9" s="965">
        <v>88.088999999999999</v>
      </c>
      <c r="E9" s="965">
        <f>92.386432+0.488542</f>
        <v>92.874973999999995</v>
      </c>
      <c r="F9" s="965">
        <v>101.75700000000001</v>
      </c>
      <c r="G9" s="967">
        <f>F9/F$76</f>
        <v>6.3483576821073473E-2</v>
      </c>
      <c r="H9" s="890"/>
      <c r="I9" s="971">
        <v>2028</v>
      </c>
      <c r="K9" s="971">
        <f>J9+I9</f>
        <v>2028</v>
      </c>
      <c r="L9" s="325">
        <f>97.356509+0.370667</f>
        <v>97.727176</v>
      </c>
      <c r="M9" s="541">
        <f>L9/L$76</f>
        <v>5.9880466642347648E-2</v>
      </c>
      <c r="N9" s="547">
        <f>2010+40</f>
        <v>2050</v>
      </c>
      <c r="O9" s="546"/>
      <c r="P9" s="547">
        <f>O9+N9</f>
        <v>2050</v>
      </c>
      <c r="Q9" s="693">
        <v>97.092506999999998</v>
      </c>
      <c r="R9" s="693">
        <f>2003+40</f>
        <v>2043</v>
      </c>
      <c r="S9" s="691"/>
      <c r="T9" s="694">
        <f>S9+R9</f>
        <v>2043</v>
      </c>
    </row>
    <row r="10" spans="1:20" x14ac:dyDescent="0.2">
      <c r="A10" s="60" t="s">
        <v>73</v>
      </c>
      <c r="B10" s="65">
        <v>85.625</v>
      </c>
      <c r="C10" s="965">
        <v>85.762</v>
      </c>
      <c r="D10" s="965">
        <v>86.674000000000007</v>
      </c>
      <c r="E10" s="965">
        <v>96.095230000000001</v>
      </c>
      <c r="F10" s="965">
        <v>99.878</v>
      </c>
      <c r="G10" s="967">
        <f>F10/F$76</f>
        <v>6.2311317017356802E-2</v>
      </c>
      <c r="H10" s="890"/>
      <c r="I10" s="971">
        <v>1993</v>
      </c>
      <c r="K10" s="971">
        <f t="shared" ref="K10:K26" si="3">J10+I10</f>
        <v>1993</v>
      </c>
      <c r="L10" s="325">
        <v>105.63357000000001</v>
      </c>
      <c r="M10" s="541">
        <f>L10/L$76</f>
        <v>6.4724959050255326E-2</v>
      </c>
      <c r="N10" s="547">
        <f>1972+45</f>
        <v>2017</v>
      </c>
      <c r="O10" s="546"/>
      <c r="P10" s="547">
        <f t="shared" ref="P10:P26" si="4">O10+N10</f>
        <v>2017</v>
      </c>
      <c r="Q10" s="693">
        <v>100.42587399999999</v>
      </c>
      <c r="R10" s="693">
        <f>1975+45</f>
        <v>2020</v>
      </c>
      <c r="S10" s="691"/>
      <c r="T10" s="694">
        <f t="shared" ref="T10:T26" si="5">S10+R10</f>
        <v>2020</v>
      </c>
    </row>
    <row r="11" spans="1:20" x14ac:dyDescent="0.2">
      <c r="A11" s="60" t="s">
        <v>698</v>
      </c>
      <c r="B11" s="65">
        <v>78.218000000000004</v>
      </c>
      <c r="C11" s="965">
        <v>81.585999999999999</v>
      </c>
      <c r="D11" s="965">
        <v>81.66</v>
      </c>
      <c r="E11" s="965">
        <v>85.233241000000007</v>
      </c>
      <c r="F11" s="965">
        <v>101.09</v>
      </c>
      <c r="G11" s="967">
        <f>F11/F$76</f>
        <v>6.3067452665097404E-2</v>
      </c>
      <c r="H11" s="890"/>
      <c r="I11" s="971">
        <v>1017</v>
      </c>
      <c r="K11" s="971">
        <f t="shared" si="3"/>
        <v>1017</v>
      </c>
      <c r="L11" s="325">
        <v>113.271398</v>
      </c>
      <c r="M11" s="541">
        <f>L11/L$76</f>
        <v>6.9404892754407269E-2</v>
      </c>
      <c r="N11" s="547">
        <v>1007</v>
      </c>
      <c r="O11" s="546"/>
      <c r="P11" s="547">
        <f t="shared" si="4"/>
        <v>1007</v>
      </c>
      <c r="Q11" s="693">
        <v>113.019903</v>
      </c>
      <c r="R11" s="693">
        <v>945</v>
      </c>
      <c r="S11" s="691"/>
      <c r="T11" s="694">
        <f t="shared" si="5"/>
        <v>945</v>
      </c>
    </row>
    <row r="12" spans="1:20" ht="12" x14ac:dyDescent="0.2">
      <c r="A12" s="56" t="s">
        <v>706</v>
      </c>
      <c r="B12" s="65">
        <v>69.412999999999997</v>
      </c>
      <c r="C12" s="965">
        <v>66.959999999999994</v>
      </c>
      <c r="D12" s="965">
        <v>62.985999999999997</v>
      </c>
      <c r="E12" s="965">
        <v>72.170952999999997</v>
      </c>
      <c r="F12" s="965">
        <v>75.236999999999995</v>
      </c>
      <c r="G12" s="972"/>
      <c r="H12" s="890"/>
      <c r="I12" s="971">
        <v>1525</v>
      </c>
      <c r="K12" s="971">
        <f t="shared" si="3"/>
        <v>1525</v>
      </c>
      <c r="L12" s="325">
        <v>77.690447000000006</v>
      </c>
      <c r="M12" s="603"/>
      <c r="N12" s="547">
        <f>1493+36</f>
        <v>1529</v>
      </c>
      <c r="O12" s="546"/>
      <c r="P12" s="547">
        <f t="shared" si="4"/>
        <v>1529</v>
      </c>
      <c r="Q12" s="693">
        <v>71.246645000000001</v>
      </c>
      <c r="R12" s="693">
        <f>1517+36</f>
        <v>1553</v>
      </c>
      <c r="S12" s="691"/>
      <c r="T12" s="694">
        <f t="shared" si="5"/>
        <v>1553</v>
      </c>
    </row>
    <row r="13" spans="1:20" x14ac:dyDescent="0.2">
      <c r="A13" s="56" t="s">
        <v>82</v>
      </c>
      <c r="B13" s="65">
        <v>46.197000000000003</v>
      </c>
      <c r="C13" s="965">
        <v>50.314999999999998</v>
      </c>
      <c r="D13" s="965">
        <v>53.813000000000002</v>
      </c>
      <c r="E13" s="965">
        <v>56.531106000000001</v>
      </c>
      <c r="F13" s="965">
        <v>58.408000000000001</v>
      </c>
      <c r="G13" s="973"/>
      <c r="H13" s="890"/>
      <c r="I13" s="971">
        <v>979</v>
      </c>
      <c r="K13" s="971">
        <f t="shared" si="3"/>
        <v>979</v>
      </c>
      <c r="L13" s="325">
        <v>51.509877000000003</v>
      </c>
      <c r="M13" s="548"/>
      <c r="N13" s="547">
        <f>951+81</f>
        <v>1032</v>
      </c>
      <c r="O13" s="546"/>
      <c r="P13" s="547">
        <f t="shared" si="4"/>
        <v>1032</v>
      </c>
      <c r="Q13" s="693">
        <v>45.650567000000002</v>
      </c>
      <c r="R13" s="693">
        <f>948+81</f>
        <v>1029</v>
      </c>
      <c r="S13" s="691"/>
      <c r="T13" s="694">
        <f t="shared" si="5"/>
        <v>1029</v>
      </c>
    </row>
    <row r="14" spans="1:20" x14ac:dyDescent="0.2">
      <c r="A14" s="56" t="s">
        <v>835</v>
      </c>
      <c r="B14" s="65">
        <v>46.447000000000003</v>
      </c>
      <c r="C14" s="965">
        <v>46.747</v>
      </c>
      <c r="D14" s="965">
        <v>46.747</v>
      </c>
      <c r="E14" s="965">
        <v>47.747</v>
      </c>
      <c r="F14" s="965">
        <v>49.204999999999998</v>
      </c>
      <c r="G14" s="974"/>
      <c r="H14" s="890"/>
      <c r="I14" s="971">
        <v>250</v>
      </c>
      <c r="K14" s="971">
        <f t="shared" si="3"/>
        <v>250</v>
      </c>
      <c r="L14" s="528">
        <v>24.39922</v>
      </c>
      <c r="M14" s="435"/>
      <c r="N14" s="547">
        <v>247</v>
      </c>
      <c r="O14" s="546"/>
      <c r="P14" s="547">
        <f t="shared" si="4"/>
        <v>247</v>
      </c>
      <c r="Q14" s="683">
        <v>23.854507999999999</v>
      </c>
      <c r="R14" s="693">
        <v>246</v>
      </c>
      <c r="S14" s="691"/>
      <c r="T14" s="694">
        <f t="shared" si="5"/>
        <v>246</v>
      </c>
    </row>
    <row r="15" spans="1:20" ht="22" x14ac:dyDescent="0.2">
      <c r="A15" s="194" t="s">
        <v>836</v>
      </c>
      <c r="B15" s="65">
        <v>31.681000000000001</v>
      </c>
      <c r="C15" s="965">
        <v>35.831000000000003</v>
      </c>
      <c r="D15" s="965">
        <v>35.789000000000001</v>
      </c>
      <c r="E15" s="965">
        <v>27.539202</v>
      </c>
      <c r="F15" s="965">
        <v>37.945</v>
      </c>
      <c r="G15" s="974"/>
      <c r="H15" s="890"/>
      <c r="I15" s="971">
        <v>892</v>
      </c>
      <c r="J15" s="795">
        <v>18</v>
      </c>
      <c r="K15" s="971">
        <f t="shared" si="3"/>
        <v>910</v>
      </c>
      <c r="L15" s="325">
        <v>70.684635</v>
      </c>
      <c r="M15" s="548"/>
      <c r="N15" s="547">
        <f>892+105</f>
        <v>997</v>
      </c>
      <c r="O15" s="546">
        <v>18</v>
      </c>
      <c r="P15" s="547">
        <f t="shared" si="4"/>
        <v>1015</v>
      </c>
      <c r="Q15" s="693">
        <v>29.236899999999999</v>
      </c>
      <c r="R15" s="693">
        <f>903+105</f>
        <v>1008</v>
      </c>
      <c r="S15" s="691"/>
      <c r="T15" s="694">
        <f t="shared" si="5"/>
        <v>1008</v>
      </c>
    </row>
    <row r="16" spans="1:20" x14ac:dyDescent="0.2">
      <c r="A16" s="56" t="s">
        <v>83</v>
      </c>
      <c r="B16" s="65">
        <v>33.719000000000001</v>
      </c>
      <c r="C16" s="965">
        <v>33.902000000000001</v>
      </c>
      <c r="D16" s="965">
        <v>34.231000000000002</v>
      </c>
      <c r="E16" s="965">
        <v>37.168435000000002</v>
      </c>
      <c r="F16" s="965">
        <v>39.695999999999998</v>
      </c>
      <c r="G16" s="974"/>
      <c r="H16" s="890"/>
      <c r="I16" s="971">
        <v>681</v>
      </c>
      <c r="J16" s="795">
        <v>9</v>
      </c>
      <c r="K16" s="971">
        <f t="shared" si="3"/>
        <v>690</v>
      </c>
      <c r="L16" s="325">
        <v>38.162578000000003</v>
      </c>
      <c r="M16" s="548"/>
      <c r="N16" s="547">
        <f>666+26</f>
        <v>692</v>
      </c>
      <c r="O16" s="546">
        <v>9</v>
      </c>
      <c r="P16" s="547">
        <f t="shared" si="4"/>
        <v>701</v>
      </c>
      <c r="Q16" s="693">
        <v>37.581288999999998</v>
      </c>
      <c r="R16" s="693">
        <f>669+28</f>
        <v>697</v>
      </c>
      <c r="S16" s="691">
        <v>6</v>
      </c>
      <c r="T16" s="694">
        <f t="shared" si="5"/>
        <v>703</v>
      </c>
    </row>
    <row r="17" spans="1:20" x14ac:dyDescent="0.2">
      <c r="A17" s="56" t="s">
        <v>699</v>
      </c>
      <c r="B17" s="65">
        <v>19.065999999999999</v>
      </c>
      <c r="C17" s="965">
        <v>19.013999999999999</v>
      </c>
      <c r="D17" s="965">
        <v>19.013999999999999</v>
      </c>
      <c r="E17" s="965">
        <v>19.703244999999999</v>
      </c>
      <c r="F17" s="965">
        <v>20.63</v>
      </c>
      <c r="G17" s="974"/>
      <c r="H17" s="890"/>
      <c r="I17" s="971">
        <v>66</v>
      </c>
      <c r="J17" s="795">
        <v>59</v>
      </c>
      <c r="K17" s="971">
        <f t="shared" si="3"/>
        <v>125</v>
      </c>
      <c r="L17" s="325">
        <v>19.833285</v>
      </c>
      <c r="M17" s="548"/>
      <c r="N17" s="547">
        <f>63+20</f>
        <v>83</v>
      </c>
      <c r="O17" s="546">
        <v>59</v>
      </c>
      <c r="P17" s="547">
        <f t="shared" si="4"/>
        <v>142</v>
      </c>
      <c r="Q17" s="693">
        <v>19.517181000000001</v>
      </c>
      <c r="R17" s="693">
        <f>63+20</f>
        <v>83</v>
      </c>
      <c r="S17" s="691">
        <v>59</v>
      </c>
      <c r="T17" s="694">
        <f t="shared" si="5"/>
        <v>142</v>
      </c>
    </row>
    <row r="18" spans="1:20" x14ac:dyDescent="0.2">
      <c r="A18" s="56" t="s">
        <v>697</v>
      </c>
      <c r="B18" s="65">
        <v>18.332000000000001</v>
      </c>
      <c r="C18" s="965">
        <v>18.332000000000001</v>
      </c>
      <c r="D18" s="965">
        <v>18.332000000000001</v>
      </c>
      <c r="E18" s="965">
        <v>18.946197999999999</v>
      </c>
      <c r="F18" s="965">
        <v>20.059000000000001</v>
      </c>
      <c r="G18" s="974"/>
      <c r="H18" s="890"/>
      <c r="I18" s="971">
        <v>134</v>
      </c>
      <c r="J18" s="795">
        <v>8</v>
      </c>
      <c r="K18" s="971">
        <f t="shared" si="3"/>
        <v>142</v>
      </c>
      <c r="L18" s="549">
        <v>19.283787</v>
      </c>
      <c r="M18" s="550"/>
      <c r="N18" s="547">
        <v>134</v>
      </c>
      <c r="O18" s="546">
        <v>8</v>
      </c>
      <c r="P18" s="547">
        <f t="shared" si="4"/>
        <v>142</v>
      </c>
      <c r="Q18" s="695">
        <f>19.524658</f>
        <v>19.524657999999999</v>
      </c>
      <c r="R18" s="693">
        <v>135</v>
      </c>
      <c r="S18" s="691">
        <v>7</v>
      </c>
      <c r="T18" s="694">
        <f t="shared" si="5"/>
        <v>142</v>
      </c>
    </row>
    <row r="19" spans="1:20" x14ac:dyDescent="0.2">
      <c r="A19" s="56" t="s">
        <v>97</v>
      </c>
      <c r="B19" s="65">
        <v>16.324999999999999</v>
      </c>
      <c r="C19" s="965">
        <v>16.324999999999999</v>
      </c>
      <c r="D19" s="965">
        <v>16.324999999999999</v>
      </c>
      <c r="E19" s="965">
        <v>16.707649</v>
      </c>
      <c r="F19" s="965">
        <v>17.166</v>
      </c>
      <c r="G19" s="974"/>
      <c r="H19" s="890"/>
      <c r="I19" s="971">
        <v>263</v>
      </c>
      <c r="K19" s="971">
        <f t="shared" si="3"/>
        <v>263</v>
      </c>
      <c r="L19" s="325">
        <v>16.503395000000001</v>
      </c>
      <c r="M19" s="548"/>
      <c r="N19" s="547">
        <v>263</v>
      </c>
      <c r="O19" s="546"/>
      <c r="P19" s="547">
        <f t="shared" si="4"/>
        <v>263</v>
      </c>
      <c r="Q19" s="693">
        <v>16.175716000000001</v>
      </c>
      <c r="R19" s="693">
        <v>262</v>
      </c>
      <c r="S19" s="691"/>
      <c r="T19" s="694">
        <f t="shared" si="5"/>
        <v>262</v>
      </c>
    </row>
    <row r="20" spans="1:20" x14ac:dyDescent="0.2">
      <c r="A20" s="56" t="s">
        <v>98</v>
      </c>
      <c r="B20" s="65">
        <v>13.696</v>
      </c>
      <c r="C20" s="965">
        <v>13.696999999999999</v>
      </c>
      <c r="D20" s="965">
        <v>13.696999999999999</v>
      </c>
      <c r="E20" s="965">
        <v>15.705506</v>
      </c>
      <c r="F20" s="965"/>
      <c r="G20" s="974"/>
      <c r="H20" s="890"/>
      <c r="I20" s="971">
        <v>10</v>
      </c>
      <c r="J20" s="795">
        <v>144</v>
      </c>
      <c r="K20" s="971">
        <f t="shared" si="3"/>
        <v>154</v>
      </c>
      <c r="L20" s="325">
        <v>14.046507999999999</v>
      </c>
      <c r="M20" s="548"/>
      <c r="N20" s="547">
        <f>8+4</f>
        <v>12</v>
      </c>
      <c r="O20" s="546">
        <v>144</v>
      </c>
      <c r="P20" s="547">
        <f t="shared" si="4"/>
        <v>156</v>
      </c>
      <c r="Q20" s="693">
        <v>11.450536</v>
      </c>
      <c r="R20" s="693">
        <f>8+4</f>
        <v>12</v>
      </c>
      <c r="S20" s="691">
        <v>144</v>
      </c>
      <c r="T20" s="694">
        <f t="shared" si="5"/>
        <v>156</v>
      </c>
    </row>
    <row r="21" spans="1:20" x14ac:dyDescent="0.2">
      <c r="A21" s="56" t="s">
        <v>837</v>
      </c>
      <c r="B21" s="65">
        <v>7.7450000000000001</v>
      </c>
      <c r="C21" s="965">
        <v>8.7449999999999992</v>
      </c>
      <c r="D21" s="965">
        <v>8.7449999999999992</v>
      </c>
      <c r="E21" s="965">
        <v>10.647</v>
      </c>
      <c r="F21" s="965">
        <v>12.834</v>
      </c>
      <c r="G21" s="974"/>
      <c r="H21" s="890"/>
      <c r="I21" s="971">
        <v>77</v>
      </c>
      <c r="J21" s="795">
        <v>25</v>
      </c>
      <c r="K21" s="971">
        <f t="shared" si="3"/>
        <v>102</v>
      </c>
      <c r="L21" s="325">
        <v>9.5661710000000006</v>
      </c>
      <c r="M21" s="548"/>
      <c r="N21" s="547">
        <f>75+4</f>
        <v>79</v>
      </c>
      <c r="O21" s="546">
        <v>25</v>
      </c>
      <c r="P21" s="547">
        <f t="shared" si="4"/>
        <v>104</v>
      </c>
      <c r="Q21" s="693">
        <v>7.9840949999999999</v>
      </c>
      <c r="R21" s="693">
        <f>75+4</f>
        <v>79</v>
      </c>
      <c r="S21" s="691">
        <v>25</v>
      </c>
      <c r="T21" s="694">
        <f t="shared" si="5"/>
        <v>104</v>
      </c>
    </row>
    <row r="22" spans="1:20" x14ac:dyDescent="0.2">
      <c r="A22" s="56" t="s">
        <v>101</v>
      </c>
      <c r="B22" s="65">
        <v>4.8689999999999998</v>
      </c>
      <c r="C22" s="965">
        <v>4.8689999999999998</v>
      </c>
      <c r="D22" s="965">
        <v>4.8689999999999998</v>
      </c>
      <c r="E22" s="965">
        <v>5.7081619999999997</v>
      </c>
      <c r="F22" s="965">
        <v>8.5619999999999994</v>
      </c>
      <c r="G22" s="974"/>
      <c r="H22" s="890"/>
      <c r="I22" s="971">
        <v>52</v>
      </c>
      <c r="J22" s="795">
        <v>116</v>
      </c>
      <c r="K22" s="971">
        <f t="shared" si="3"/>
        <v>168</v>
      </c>
      <c r="L22" s="325">
        <v>8.5821579999999997</v>
      </c>
      <c r="M22" s="548"/>
      <c r="N22" s="547">
        <v>50</v>
      </c>
      <c r="O22" s="546">
        <v>116</v>
      </c>
      <c r="P22" s="547">
        <f t="shared" si="4"/>
        <v>166</v>
      </c>
      <c r="Q22" s="693">
        <v>8.7258110000000002</v>
      </c>
      <c r="R22" s="693">
        <v>50</v>
      </c>
      <c r="S22" s="691">
        <v>116</v>
      </c>
      <c r="T22" s="694">
        <f t="shared" si="5"/>
        <v>166</v>
      </c>
    </row>
    <row r="23" spans="1:20" x14ac:dyDescent="0.2">
      <c r="A23" s="56" t="s">
        <v>102</v>
      </c>
      <c r="B23" s="65">
        <v>3.8969999999999998</v>
      </c>
      <c r="C23" s="965">
        <v>3.8969999999999998</v>
      </c>
      <c r="D23" s="965">
        <v>3.8969999999999998</v>
      </c>
      <c r="E23" s="965">
        <v>4.451911</v>
      </c>
      <c r="F23" s="965">
        <v>4.7530000000000001</v>
      </c>
      <c r="G23" s="974"/>
      <c r="H23" s="890"/>
      <c r="I23" s="971">
        <v>55</v>
      </c>
      <c r="J23" s="795">
        <v>75</v>
      </c>
      <c r="K23" s="971">
        <f t="shared" si="3"/>
        <v>130</v>
      </c>
      <c r="L23" s="325">
        <v>5.0505449999999996</v>
      </c>
      <c r="M23" s="548"/>
      <c r="N23" s="547">
        <f>45+22</f>
        <v>67</v>
      </c>
      <c r="O23" s="546">
        <v>75</v>
      </c>
      <c r="P23" s="547">
        <f t="shared" si="4"/>
        <v>142</v>
      </c>
      <c r="Q23" s="693">
        <v>5.143859</v>
      </c>
      <c r="R23" s="693">
        <f>45+22</f>
        <v>67</v>
      </c>
      <c r="S23" s="691">
        <v>75</v>
      </c>
      <c r="T23" s="694">
        <f t="shared" si="5"/>
        <v>142</v>
      </c>
    </row>
    <row r="24" spans="1:20" x14ac:dyDescent="0.2">
      <c r="A24" s="56" t="s">
        <v>103</v>
      </c>
      <c r="B24" s="65">
        <v>0.83899999999999997</v>
      </c>
      <c r="C24" s="965">
        <v>0.83899999999999997</v>
      </c>
      <c r="D24" s="965">
        <v>0.83899999999999997</v>
      </c>
      <c r="E24" s="965">
        <v>0.87817599999999996</v>
      </c>
      <c r="F24" s="965">
        <v>1.1359999999999999</v>
      </c>
      <c r="G24" s="974"/>
      <c r="H24" s="890"/>
      <c r="I24" s="971">
        <v>8</v>
      </c>
      <c r="J24" s="795">
        <v>31</v>
      </c>
      <c r="K24" s="971">
        <f t="shared" si="3"/>
        <v>39</v>
      </c>
      <c r="L24" s="325">
        <v>1.0919749999999999</v>
      </c>
      <c r="M24" s="548"/>
      <c r="N24" s="547">
        <f>7+2</f>
        <v>9</v>
      </c>
      <c r="O24" s="546">
        <v>31</v>
      </c>
      <c r="P24" s="547">
        <f t="shared" si="4"/>
        <v>40</v>
      </c>
      <c r="Q24" s="693">
        <v>1.090489</v>
      </c>
      <c r="R24" s="693">
        <f>7+2</f>
        <v>9</v>
      </c>
      <c r="S24" s="691">
        <v>31</v>
      </c>
      <c r="T24" s="694">
        <f t="shared" si="5"/>
        <v>40</v>
      </c>
    </row>
    <row r="25" spans="1:20" ht="12" x14ac:dyDescent="0.2">
      <c r="A25" s="56" t="s">
        <v>736</v>
      </c>
      <c r="B25" s="65"/>
      <c r="C25" s="965"/>
      <c r="D25" s="965">
        <v>1.5</v>
      </c>
      <c r="E25" s="965">
        <v>1.5</v>
      </c>
      <c r="F25" s="965">
        <v>1.5</v>
      </c>
      <c r="G25" s="974"/>
      <c r="H25" s="890"/>
      <c r="I25" s="971">
        <v>16</v>
      </c>
      <c r="K25" s="971">
        <f t="shared" si="3"/>
        <v>16</v>
      </c>
      <c r="L25" s="544"/>
      <c r="M25" s="551"/>
      <c r="N25" s="547">
        <f>16+3</f>
        <v>19</v>
      </c>
      <c r="O25" s="546"/>
      <c r="P25" s="547">
        <f t="shared" si="4"/>
        <v>19</v>
      </c>
      <c r="Q25" s="690"/>
      <c r="R25" s="693">
        <f>16+3</f>
        <v>19</v>
      </c>
      <c r="S25" s="691"/>
      <c r="T25" s="694">
        <f t="shared" si="5"/>
        <v>19</v>
      </c>
    </row>
    <row r="26" spans="1:20" ht="12" x14ac:dyDescent="0.2">
      <c r="A26" s="56" t="s">
        <v>760</v>
      </c>
      <c r="B26" s="65"/>
      <c r="C26" s="965"/>
      <c r="D26" s="965"/>
      <c r="E26" s="965"/>
      <c r="F26" s="965"/>
      <c r="G26" s="974"/>
      <c r="H26" s="890"/>
      <c r="I26" s="971">
        <v>39</v>
      </c>
      <c r="J26" s="795">
        <v>1</v>
      </c>
      <c r="K26" s="971">
        <f t="shared" si="3"/>
        <v>40</v>
      </c>
      <c r="L26" s="544"/>
      <c r="M26" s="551"/>
      <c r="N26" s="547">
        <f>32+3</f>
        <v>35</v>
      </c>
      <c r="O26" s="546">
        <v>1</v>
      </c>
      <c r="P26" s="547">
        <f t="shared" si="4"/>
        <v>36</v>
      </c>
      <c r="Q26" s="690">
        <v>2.5</v>
      </c>
      <c r="R26" s="693">
        <f>31+3</f>
        <v>34</v>
      </c>
      <c r="S26" s="691">
        <v>1</v>
      </c>
      <c r="T26" s="694">
        <f t="shared" si="5"/>
        <v>35</v>
      </c>
    </row>
    <row r="27" spans="1:20" x14ac:dyDescent="0.2">
      <c r="A27" s="60"/>
      <c r="B27" s="358"/>
      <c r="C27" s="975"/>
      <c r="D27" s="975"/>
      <c r="E27" s="975"/>
      <c r="F27" s="975"/>
      <c r="G27" s="976"/>
      <c r="H27" s="890"/>
      <c r="I27" s="971"/>
      <c r="L27" s="552"/>
      <c r="M27" s="538"/>
      <c r="N27" s="547"/>
      <c r="O27" s="546"/>
      <c r="P27" s="546"/>
      <c r="Q27" s="696"/>
      <c r="R27" s="693"/>
      <c r="S27" s="691"/>
      <c r="T27" s="692"/>
    </row>
    <row r="28" spans="1:20" ht="10.5" x14ac:dyDescent="0.25">
      <c r="A28" s="254" t="s">
        <v>844</v>
      </c>
      <c r="B28" s="359">
        <v>281.26900000000001</v>
      </c>
      <c r="C28" s="977">
        <f>SUM(C30:C43)</f>
        <v>291.80700000000002</v>
      </c>
      <c r="D28" s="977">
        <f>SUM(D30:D43)</f>
        <v>293.87699999999995</v>
      </c>
      <c r="E28" s="977">
        <f>SUM(E30:E44)</f>
        <v>335.95036500000003</v>
      </c>
      <c r="F28" s="978">
        <f>SUM(F30:F44)</f>
        <v>347.96900000000011</v>
      </c>
      <c r="G28" s="979">
        <f>F28/F$76</f>
        <v>0.2170889151886565</v>
      </c>
      <c r="H28" s="890"/>
      <c r="I28" s="968">
        <f>SUM(I30:I44)</f>
        <v>3843</v>
      </c>
      <c r="J28" s="968">
        <f t="shared" ref="J28:K28" si="6">SUM(J30:J44)</f>
        <v>251</v>
      </c>
      <c r="K28" s="969">
        <f t="shared" si="6"/>
        <v>4094</v>
      </c>
      <c r="L28" s="335">
        <f>SUM(L30:L44)</f>
        <v>357.57895500000006</v>
      </c>
      <c r="M28" s="553">
        <f>L28/L$76</f>
        <v>0.21909969737468968</v>
      </c>
      <c r="N28" s="542">
        <f>SUM(N30:N44)</f>
        <v>3824</v>
      </c>
      <c r="O28" s="542">
        <f t="shared" ref="O28:P28" si="7">SUM(O30:O44)</f>
        <v>251</v>
      </c>
      <c r="P28" s="543">
        <f t="shared" si="7"/>
        <v>4075</v>
      </c>
      <c r="Q28" s="682">
        <f>SUM(Q30:Q44)</f>
        <v>365.32620000000009</v>
      </c>
      <c r="R28" s="688">
        <f>SUM(R30:R44)</f>
        <v>4008</v>
      </c>
      <c r="S28" s="349">
        <f t="shared" ref="S28:T28" si="8">SUM(S30:S44)</f>
        <v>57</v>
      </c>
      <c r="T28" s="689">
        <f t="shared" si="8"/>
        <v>4065</v>
      </c>
    </row>
    <row r="29" spans="1:20" x14ac:dyDescent="0.2">
      <c r="A29" s="72" t="s">
        <v>72</v>
      </c>
      <c r="B29" s="65"/>
      <c r="C29" s="965"/>
      <c r="D29" s="965"/>
      <c r="E29" s="965"/>
      <c r="F29" s="965"/>
      <c r="G29" s="970" t="s">
        <v>758</v>
      </c>
      <c r="H29" s="890"/>
      <c r="I29" s="971"/>
      <c r="L29" s="544"/>
      <c r="M29" s="545" t="s">
        <v>758</v>
      </c>
      <c r="N29" s="547"/>
      <c r="O29" s="546"/>
      <c r="P29" s="546"/>
      <c r="Q29" s="690"/>
      <c r="R29" s="693"/>
      <c r="S29" s="691"/>
      <c r="T29" s="692"/>
    </row>
    <row r="30" spans="1:20" x14ac:dyDescent="0.2">
      <c r="A30" s="60" t="s">
        <v>84</v>
      </c>
      <c r="B30" s="65">
        <v>98.751000000000005</v>
      </c>
      <c r="C30" s="965">
        <v>102.751</v>
      </c>
      <c r="D30" s="965">
        <v>103.151</v>
      </c>
      <c r="E30" s="965">
        <v>106.151005</v>
      </c>
      <c r="F30" s="965">
        <v>111.55200000000001</v>
      </c>
      <c r="G30" s="967">
        <f>F30/F$76</f>
        <v>6.9594425558383091E-2</v>
      </c>
      <c r="H30" s="890"/>
      <c r="I30" s="971">
        <v>1484</v>
      </c>
      <c r="K30" s="971">
        <f t="shared" ref="K30:K44" si="9">J30+I30</f>
        <v>1484</v>
      </c>
      <c r="L30" s="325">
        <v>112.551716</v>
      </c>
      <c r="M30" s="541">
        <f>L30/L$76</f>
        <v>6.8963921309636397E-2</v>
      </c>
      <c r="N30" s="547">
        <f>1478+68</f>
        <v>1546</v>
      </c>
      <c r="O30" s="546"/>
      <c r="P30" s="547">
        <f t="shared" ref="P30:P44" si="10">O30+N30</f>
        <v>1546</v>
      </c>
      <c r="Q30" s="693">
        <v>111.551716</v>
      </c>
      <c r="R30" s="693">
        <f>1476+68</f>
        <v>1544</v>
      </c>
      <c r="S30" s="691"/>
      <c r="T30" s="694">
        <f t="shared" ref="T30:T44" si="11">S30+R30</f>
        <v>1544</v>
      </c>
    </row>
    <row r="31" spans="1:20" x14ac:dyDescent="0.2">
      <c r="A31" s="56" t="s">
        <v>75</v>
      </c>
      <c r="B31" s="65">
        <v>44.219000000000001</v>
      </c>
      <c r="C31" s="965">
        <v>44.219000000000001</v>
      </c>
      <c r="D31" s="965">
        <v>44.518999999999998</v>
      </c>
      <c r="E31" s="965">
        <v>45.518852000000003</v>
      </c>
      <c r="F31" s="965">
        <v>46.219000000000001</v>
      </c>
      <c r="G31" s="967"/>
      <c r="H31" s="890"/>
      <c r="I31" s="971">
        <v>506</v>
      </c>
      <c r="K31" s="971">
        <f t="shared" si="9"/>
        <v>506</v>
      </c>
      <c r="L31" s="325">
        <v>48.218851999999998</v>
      </c>
      <c r="M31" s="541"/>
      <c r="N31" s="547">
        <v>498</v>
      </c>
      <c r="O31" s="546"/>
      <c r="P31" s="547">
        <f t="shared" si="10"/>
        <v>498</v>
      </c>
      <c r="Q31" s="693">
        <v>46.218851999999998</v>
      </c>
      <c r="R31" s="693">
        <v>496</v>
      </c>
      <c r="S31" s="691"/>
      <c r="T31" s="694">
        <f t="shared" si="11"/>
        <v>496</v>
      </c>
    </row>
    <row r="32" spans="1:20" x14ac:dyDescent="0.2">
      <c r="A32" s="60" t="s">
        <v>85</v>
      </c>
      <c r="B32" s="65">
        <v>25.66</v>
      </c>
      <c r="C32" s="965">
        <v>25.66</v>
      </c>
      <c r="D32" s="965">
        <v>25.76</v>
      </c>
      <c r="E32" s="965">
        <v>26.510290999999999</v>
      </c>
      <c r="F32" s="965">
        <v>27.16</v>
      </c>
      <c r="G32" s="967"/>
      <c r="H32" s="890"/>
      <c r="I32" s="971">
        <v>399</v>
      </c>
      <c r="K32" s="971">
        <f t="shared" si="9"/>
        <v>399</v>
      </c>
      <c r="L32" s="325">
        <v>27.160291000000001</v>
      </c>
      <c r="M32" s="551"/>
      <c r="N32" s="547">
        <v>399</v>
      </c>
      <c r="O32" s="546"/>
      <c r="P32" s="547">
        <f t="shared" si="10"/>
        <v>399</v>
      </c>
      <c r="Q32" s="693">
        <v>26.410291000000001</v>
      </c>
      <c r="R32" s="693">
        <v>397</v>
      </c>
      <c r="S32" s="691"/>
      <c r="T32" s="694">
        <f t="shared" si="11"/>
        <v>397</v>
      </c>
    </row>
    <row r="33" spans="1:20" x14ac:dyDescent="0.2">
      <c r="A33" s="60" t="s">
        <v>87</v>
      </c>
      <c r="B33" s="65">
        <v>24.547999999999998</v>
      </c>
      <c r="C33" s="965">
        <v>24.547999999999998</v>
      </c>
      <c r="D33" s="965">
        <v>25.047999999999998</v>
      </c>
      <c r="E33" s="965">
        <v>26.698083</v>
      </c>
      <c r="F33" s="965">
        <v>27.198</v>
      </c>
      <c r="G33" s="974"/>
      <c r="H33" s="890"/>
      <c r="I33" s="971">
        <v>221</v>
      </c>
      <c r="K33" s="971">
        <f t="shared" si="9"/>
        <v>221</v>
      </c>
      <c r="L33" s="325">
        <f>27.198083+1.643</f>
        <v>28.841083000000001</v>
      </c>
      <c r="M33" s="551"/>
      <c r="N33" s="547">
        <v>215</v>
      </c>
      <c r="O33" s="546"/>
      <c r="P33" s="547">
        <f t="shared" si="10"/>
        <v>215</v>
      </c>
      <c r="Q33" s="693">
        <v>26.698083</v>
      </c>
      <c r="R33" s="693">
        <v>215</v>
      </c>
      <c r="S33" s="691"/>
      <c r="T33" s="694">
        <f t="shared" si="11"/>
        <v>215</v>
      </c>
    </row>
    <row r="34" spans="1:20" x14ac:dyDescent="0.2">
      <c r="A34" s="60" t="s">
        <v>123</v>
      </c>
      <c r="B34" s="65">
        <v>14.255000000000001</v>
      </c>
      <c r="C34" s="965">
        <v>14.255000000000001</v>
      </c>
      <c r="D34" s="965">
        <v>14.355</v>
      </c>
      <c r="E34" s="965">
        <v>14.805</v>
      </c>
      <c r="F34" s="965">
        <v>15.12</v>
      </c>
      <c r="G34" s="974"/>
      <c r="H34" s="890"/>
      <c r="I34" s="971">
        <v>137</v>
      </c>
      <c r="K34" s="971">
        <f t="shared" si="9"/>
        <v>137</v>
      </c>
      <c r="L34" s="325">
        <v>15.12</v>
      </c>
      <c r="M34" s="551"/>
      <c r="N34" s="547">
        <v>137</v>
      </c>
      <c r="O34" s="546"/>
      <c r="P34" s="547">
        <f t="shared" si="10"/>
        <v>137</v>
      </c>
      <c r="Q34" s="693">
        <v>14.97</v>
      </c>
      <c r="R34" s="693">
        <v>137</v>
      </c>
      <c r="S34" s="691"/>
      <c r="T34" s="694">
        <f t="shared" si="11"/>
        <v>137</v>
      </c>
    </row>
    <row r="35" spans="1:20" x14ac:dyDescent="0.2">
      <c r="A35" s="60" t="s">
        <v>90</v>
      </c>
      <c r="B35" s="65">
        <v>12.975</v>
      </c>
      <c r="C35" s="965">
        <v>12.975</v>
      </c>
      <c r="D35" s="965">
        <v>12.975</v>
      </c>
      <c r="E35" s="965">
        <v>13.375</v>
      </c>
      <c r="F35" s="965">
        <v>13.785</v>
      </c>
      <c r="G35" s="974"/>
      <c r="H35" s="890"/>
      <c r="I35" s="971">
        <v>131</v>
      </c>
      <c r="K35" s="971">
        <f t="shared" si="9"/>
        <v>131</v>
      </c>
      <c r="L35" s="325">
        <v>13.785</v>
      </c>
      <c r="M35" s="551"/>
      <c r="N35" s="547">
        <v>131</v>
      </c>
      <c r="O35" s="546"/>
      <c r="P35" s="547">
        <f t="shared" si="10"/>
        <v>131</v>
      </c>
      <c r="Q35" s="693">
        <v>14.385</v>
      </c>
      <c r="R35" s="693">
        <v>130</v>
      </c>
      <c r="S35" s="691"/>
      <c r="T35" s="694">
        <f t="shared" si="11"/>
        <v>130</v>
      </c>
    </row>
    <row r="36" spans="1:20" x14ac:dyDescent="0.2">
      <c r="A36" s="60" t="s">
        <v>88</v>
      </c>
      <c r="B36" s="65">
        <v>12.51</v>
      </c>
      <c r="C36" s="965">
        <v>12.51</v>
      </c>
      <c r="D36" s="965">
        <v>12.7</v>
      </c>
      <c r="E36" s="965">
        <v>13.31</v>
      </c>
      <c r="F36" s="965">
        <v>13.68</v>
      </c>
      <c r="G36" s="974"/>
      <c r="H36" s="890"/>
      <c r="I36" s="971">
        <v>94</v>
      </c>
      <c r="K36" s="971">
        <f t="shared" si="9"/>
        <v>94</v>
      </c>
      <c r="L36" s="325">
        <v>13.68</v>
      </c>
      <c r="M36" s="551"/>
      <c r="N36" s="547">
        <v>94</v>
      </c>
      <c r="O36" s="546"/>
      <c r="P36" s="547">
        <f t="shared" si="10"/>
        <v>94</v>
      </c>
      <c r="Q36" s="693">
        <v>13.68</v>
      </c>
      <c r="R36" s="693">
        <v>93</v>
      </c>
      <c r="S36" s="691"/>
      <c r="T36" s="694">
        <f t="shared" si="11"/>
        <v>93</v>
      </c>
    </row>
    <row r="37" spans="1:20" x14ac:dyDescent="0.2">
      <c r="A37" s="60" t="s">
        <v>89</v>
      </c>
      <c r="B37" s="65">
        <v>10.19</v>
      </c>
      <c r="C37" s="965">
        <v>10.39</v>
      </c>
      <c r="D37" s="965">
        <v>10.39</v>
      </c>
      <c r="E37" s="965">
        <v>10.74</v>
      </c>
      <c r="F37" s="965">
        <v>11.14</v>
      </c>
      <c r="G37" s="974"/>
      <c r="H37" s="890"/>
      <c r="I37" s="971">
        <v>95</v>
      </c>
      <c r="K37" s="971">
        <f t="shared" si="9"/>
        <v>95</v>
      </c>
      <c r="L37" s="325">
        <v>11.14</v>
      </c>
      <c r="M37" s="551"/>
      <c r="N37" s="547">
        <v>95</v>
      </c>
      <c r="O37" s="546"/>
      <c r="P37" s="547">
        <f t="shared" si="10"/>
        <v>95</v>
      </c>
      <c r="Q37" s="693">
        <v>11.14</v>
      </c>
      <c r="R37" s="693">
        <v>95</v>
      </c>
      <c r="S37" s="691"/>
      <c r="T37" s="694">
        <f t="shared" si="11"/>
        <v>95</v>
      </c>
    </row>
    <row r="38" spans="1:20" x14ac:dyDescent="0.2">
      <c r="A38" s="60" t="s">
        <v>91</v>
      </c>
      <c r="B38" s="65">
        <v>10.130000000000001</v>
      </c>
      <c r="C38" s="965">
        <v>10.33</v>
      </c>
      <c r="D38" s="965">
        <v>10.33</v>
      </c>
      <c r="E38" s="965">
        <v>10.73</v>
      </c>
      <c r="F38" s="965">
        <v>11.19</v>
      </c>
      <c r="G38" s="974"/>
      <c r="H38" s="890"/>
      <c r="I38" s="971">
        <v>99</v>
      </c>
      <c r="K38" s="971">
        <f t="shared" si="9"/>
        <v>99</v>
      </c>
      <c r="L38" s="325">
        <v>11.19</v>
      </c>
      <c r="M38" s="551"/>
      <c r="N38" s="547">
        <v>99</v>
      </c>
      <c r="O38" s="546"/>
      <c r="P38" s="547">
        <f t="shared" si="10"/>
        <v>99</v>
      </c>
      <c r="Q38" s="693">
        <v>11.41</v>
      </c>
      <c r="R38" s="693">
        <v>98</v>
      </c>
      <c r="S38" s="691"/>
      <c r="T38" s="694">
        <f t="shared" si="11"/>
        <v>98</v>
      </c>
    </row>
    <row r="39" spans="1:20" x14ac:dyDescent="0.2">
      <c r="A39" s="60" t="s">
        <v>86</v>
      </c>
      <c r="B39" s="65">
        <v>10.167</v>
      </c>
      <c r="C39" s="965">
        <v>10.205</v>
      </c>
      <c r="D39" s="965">
        <v>10.404999999999999</v>
      </c>
      <c r="E39" s="965">
        <v>11.013885999999999</v>
      </c>
      <c r="F39" s="965">
        <v>11.263999999999999</v>
      </c>
      <c r="G39" s="974"/>
      <c r="H39" s="890"/>
      <c r="I39" s="971">
        <v>21</v>
      </c>
      <c r="J39" s="795">
        <v>57</v>
      </c>
      <c r="K39" s="971">
        <f t="shared" si="9"/>
        <v>78</v>
      </c>
      <c r="L39" s="325">
        <v>11.263885999999999</v>
      </c>
      <c r="M39" s="551"/>
      <c r="N39" s="547">
        <v>21</v>
      </c>
      <c r="O39" s="546">
        <v>57</v>
      </c>
      <c r="P39" s="547">
        <f t="shared" si="10"/>
        <v>78</v>
      </c>
      <c r="Q39" s="693">
        <v>11.063886</v>
      </c>
      <c r="R39" s="693">
        <v>21</v>
      </c>
      <c r="S39" s="691">
        <v>57</v>
      </c>
      <c r="T39" s="694">
        <f t="shared" si="11"/>
        <v>78</v>
      </c>
    </row>
    <row r="40" spans="1:20" x14ac:dyDescent="0.2">
      <c r="A40" s="56" t="s">
        <v>78</v>
      </c>
      <c r="B40" s="65">
        <v>9.43</v>
      </c>
      <c r="C40" s="965">
        <v>9.43</v>
      </c>
      <c r="D40" s="965">
        <v>9.5299999999999994</v>
      </c>
      <c r="E40" s="965">
        <v>9.93</v>
      </c>
      <c r="F40" s="965">
        <v>10.23</v>
      </c>
      <c r="G40" s="974"/>
      <c r="H40" s="890"/>
      <c r="I40" s="971">
        <v>99</v>
      </c>
      <c r="K40" s="971">
        <f t="shared" si="9"/>
        <v>99</v>
      </c>
      <c r="L40" s="325">
        <v>10.23</v>
      </c>
      <c r="M40" s="551"/>
      <c r="N40" s="547">
        <v>99</v>
      </c>
      <c r="O40" s="546"/>
      <c r="P40" s="547">
        <f t="shared" si="10"/>
        <v>99</v>
      </c>
      <c r="Q40" s="693">
        <v>10.23</v>
      </c>
      <c r="R40" s="693">
        <v>98</v>
      </c>
      <c r="S40" s="691"/>
      <c r="T40" s="694">
        <f t="shared" si="11"/>
        <v>98</v>
      </c>
    </row>
    <row r="41" spans="1:20" x14ac:dyDescent="0.2">
      <c r="A41" s="535" t="s">
        <v>840</v>
      </c>
      <c r="B41" s="65">
        <v>4.4640000000000004</v>
      </c>
      <c r="C41" s="965">
        <v>4.4640000000000004</v>
      </c>
      <c r="D41" s="965">
        <v>4.5640000000000001</v>
      </c>
      <c r="E41" s="965">
        <v>5.9842740000000001</v>
      </c>
      <c r="F41" s="965">
        <v>6.5140000000000002</v>
      </c>
      <c r="G41" s="974"/>
      <c r="H41" s="890"/>
      <c r="I41" s="971">
        <v>45</v>
      </c>
      <c r="J41" s="795">
        <v>194</v>
      </c>
      <c r="K41" s="971">
        <f t="shared" si="9"/>
        <v>239</v>
      </c>
      <c r="L41" s="544"/>
      <c r="M41" s="551"/>
      <c r="N41" s="547"/>
      <c r="O41" s="546"/>
      <c r="P41" s="547"/>
      <c r="Q41" s="693"/>
      <c r="R41" s="693"/>
      <c r="S41" s="691"/>
      <c r="T41" s="694"/>
    </row>
    <row r="42" spans="1:20" x14ac:dyDescent="0.2">
      <c r="A42" s="56" t="s">
        <v>700</v>
      </c>
      <c r="B42" s="65">
        <v>3.97</v>
      </c>
      <c r="C42" s="965">
        <v>3.97</v>
      </c>
      <c r="D42" s="965">
        <v>3.97</v>
      </c>
      <c r="E42" s="965">
        <v>4.07</v>
      </c>
      <c r="F42" s="965">
        <v>4.37</v>
      </c>
      <c r="G42" s="974"/>
      <c r="H42" s="890"/>
      <c r="I42" s="971">
        <v>46</v>
      </c>
      <c r="K42" s="971">
        <f t="shared" si="9"/>
        <v>46</v>
      </c>
      <c r="L42" s="325">
        <v>4.37</v>
      </c>
      <c r="M42" s="551"/>
      <c r="N42" s="547">
        <v>46</v>
      </c>
      <c r="O42" s="546"/>
      <c r="P42" s="547">
        <f t="shared" si="10"/>
        <v>46</v>
      </c>
      <c r="Q42" s="693">
        <v>4.37</v>
      </c>
      <c r="R42" s="693">
        <v>46</v>
      </c>
      <c r="S42" s="691"/>
      <c r="T42" s="694">
        <f t="shared" si="11"/>
        <v>46</v>
      </c>
    </row>
    <row r="43" spans="1:20" x14ac:dyDescent="0.2">
      <c r="A43" s="135" t="s">
        <v>834</v>
      </c>
      <c r="B43" s="65"/>
      <c r="C43" s="965">
        <v>6.1</v>
      </c>
      <c r="D43" s="965">
        <v>6.18</v>
      </c>
      <c r="E43" s="965">
        <f>0.855+5.386109</f>
        <v>6.2411089999999998</v>
      </c>
      <c r="F43" s="965">
        <v>6.391</v>
      </c>
      <c r="G43" s="974"/>
      <c r="H43" s="890"/>
      <c r="I43" s="971">
        <v>47</v>
      </c>
      <c r="K43" s="971">
        <f t="shared" si="9"/>
        <v>47</v>
      </c>
      <c r="L43" s="325">
        <f>0.821975+5.536109</f>
        <v>6.3580839999999998</v>
      </c>
      <c r="M43" s="551"/>
      <c r="N43" s="547">
        <v>47</v>
      </c>
      <c r="O43" s="546"/>
      <c r="P43" s="547">
        <f t="shared" si="10"/>
        <v>47</v>
      </c>
      <c r="Q43" s="693">
        <f>0.821975+5.536109</f>
        <v>6.3580839999999998</v>
      </c>
      <c r="R43" s="693">
        <v>47</v>
      </c>
      <c r="S43" s="691"/>
      <c r="T43" s="694">
        <f t="shared" si="11"/>
        <v>47</v>
      </c>
    </row>
    <row r="44" spans="1:20" x14ac:dyDescent="0.2">
      <c r="A44" s="535" t="s">
        <v>841</v>
      </c>
      <c r="B44" s="65"/>
      <c r="C44" s="965"/>
      <c r="D44" s="965"/>
      <c r="E44" s="965">
        <v>30.872865000000001</v>
      </c>
      <c r="F44" s="965">
        <v>32.155999999999999</v>
      </c>
      <c r="G44" s="974"/>
      <c r="H44" s="890"/>
      <c r="I44" s="971">
        <v>419</v>
      </c>
      <c r="K44" s="971">
        <f t="shared" si="9"/>
        <v>419</v>
      </c>
      <c r="L44" s="325">
        <v>43.670043</v>
      </c>
      <c r="M44" s="551"/>
      <c r="N44" s="547">
        <v>397</v>
      </c>
      <c r="O44" s="546">
        <v>194</v>
      </c>
      <c r="P44" s="547">
        <f t="shared" si="10"/>
        <v>591</v>
      </c>
      <c r="Q44" s="693">
        <v>56.840288000000001</v>
      </c>
      <c r="R44" s="693">
        <v>591</v>
      </c>
      <c r="S44" s="691"/>
      <c r="T44" s="694">
        <f t="shared" si="11"/>
        <v>591</v>
      </c>
    </row>
    <row r="45" spans="1:20" x14ac:dyDescent="0.2">
      <c r="A45" s="60"/>
      <c r="B45" s="358"/>
      <c r="C45" s="975"/>
      <c r="D45" s="975"/>
      <c r="E45" s="975"/>
      <c r="F45" s="975"/>
      <c r="G45" s="976"/>
      <c r="H45" s="890"/>
      <c r="I45" s="971"/>
      <c r="L45" s="552"/>
      <c r="M45" s="538"/>
      <c r="N45" s="547"/>
      <c r="O45" s="546"/>
      <c r="P45" s="546"/>
      <c r="Q45" s="696"/>
      <c r="R45" s="693"/>
      <c r="S45" s="691"/>
      <c r="T45" s="692"/>
    </row>
    <row r="46" spans="1:20" ht="10.5" x14ac:dyDescent="0.25">
      <c r="A46" s="59" t="s">
        <v>92</v>
      </c>
      <c r="B46" s="65">
        <v>252.47900000000001</v>
      </c>
      <c r="C46" s="965">
        <f>SUM(C48:C51)</f>
        <v>267.83199999999994</v>
      </c>
      <c r="D46" s="965">
        <f>SUM(D48:D51)</f>
        <v>294.02</v>
      </c>
      <c r="E46" s="965">
        <f>SUM(E48:E51)</f>
        <v>298.33197100000001</v>
      </c>
      <c r="F46" s="966">
        <f>SUM(F48:F51)</f>
        <v>314.17400000000009</v>
      </c>
      <c r="G46" s="967">
        <f>F46/F$76</f>
        <v>0.1960050833277705</v>
      </c>
      <c r="H46" s="890"/>
      <c r="I46" s="968">
        <f>SUM(I48:I53)</f>
        <v>3142</v>
      </c>
      <c r="J46" s="968">
        <f t="shared" ref="J46:K46" si="12">SUM(J48:J53)</f>
        <v>208</v>
      </c>
      <c r="K46" s="969">
        <f t="shared" si="12"/>
        <v>3350</v>
      </c>
      <c r="L46" s="335">
        <f>SUM(L48:L51)</f>
        <v>311.88566700000001</v>
      </c>
      <c r="M46" s="541">
        <f>L46/L$76</f>
        <v>0.19110200502488528</v>
      </c>
      <c r="N46" s="542">
        <f>SUM(N48:N53)</f>
        <v>3136</v>
      </c>
      <c r="O46" s="542">
        <f t="shared" ref="O46:P46" si="13">SUM(O48:O53)</f>
        <v>208</v>
      </c>
      <c r="P46" s="543">
        <f t="shared" si="13"/>
        <v>3344</v>
      </c>
      <c r="Q46" s="682">
        <f>SUM(Q48:Q51)</f>
        <v>303.34801199999998</v>
      </c>
      <c r="R46" s="688">
        <f>SUM(R48:R53)</f>
        <v>3110</v>
      </c>
      <c r="S46" s="349">
        <f t="shared" ref="S46:T46" si="14">SUM(S48:S53)</f>
        <v>208</v>
      </c>
      <c r="T46" s="689">
        <f t="shared" si="14"/>
        <v>3318</v>
      </c>
    </row>
    <row r="47" spans="1:20" x14ac:dyDescent="0.2">
      <c r="A47" s="72" t="s">
        <v>72</v>
      </c>
      <c r="B47" s="65"/>
      <c r="C47" s="965"/>
      <c r="D47" s="965"/>
      <c r="E47" s="965"/>
      <c r="F47" s="965"/>
      <c r="G47" s="970" t="s">
        <v>758</v>
      </c>
      <c r="H47" s="890"/>
      <c r="I47" s="971"/>
      <c r="L47" s="544"/>
      <c r="M47" s="545" t="s">
        <v>758</v>
      </c>
      <c r="N47" s="547"/>
      <c r="O47" s="546"/>
      <c r="P47" s="546"/>
      <c r="Q47" s="690"/>
      <c r="R47" s="693"/>
      <c r="S47" s="691"/>
      <c r="T47" s="692"/>
    </row>
    <row r="48" spans="1:20" x14ac:dyDescent="0.2">
      <c r="A48" s="73" t="s">
        <v>692</v>
      </c>
      <c r="B48" s="65">
        <v>210.11199999999999</v>
      </c>
      <c r="C48" s="965">
        <v>216.87799999999999</v>
      </c>
      <c r="D48" s="965">
        <v>224.03299999999999</v>
      </c>
      <c r="E48" s="965">
        <v>232.77334999999999</v>
      </c>
      <c r="F48" s="965">
        <v>246.86500000000001</v>
      </c>
      <c r="G48" s="967">
        <f>F48/F$76</f>
        <v>0.15401272828340362</v>
      </c>
      <c r="H48" s="890"/>
      <c r="I48" s="971">
        <v>2215</v>
      </c>
      <c r="K48" s="971">
        <f t="shared" ref="K48" si="15">J48+I48</f>
        <v>2215</v>
      </c>
      <c r="L48" s="325">
        <v>249.804969</v>
      </c>
      <c r="M48" s="541">
        <f>L48/L$76</f>
        <v>0.15306323916795864</v>
      </c>
      <c r="N48" s="547">
        <f>2202+13</f>
        <v>2215</v>
      </c>
      <c r="O48" s="546"/>
      <c r="P48" s="547">
        <f t="shared" ref="P48:P53" si="16">O48+N48</f>
        <v>2215</v>
      </c>
      <c r="Q48" s="693">
        <v>248.18046699999999</v>
      </c>
      <c r="R48" s="693">
        <v>2195</v>
      </c>
      <c r="S48" s="691"/>
      <c r="T48" s="694">
        <f t="shared" ref="T48:T53" si="17">S48+R48</f>
        <v>2195</v>
      </c>
    </row>
    <row r="49" spans="1:20" x14ac:dyDescent="0.2">
      <c r="A49" s="61" t="s">
        <v>691</v>
      </c>
      <c r="B49" s="65">
        <v>24.718</v>
      </c>
      <c r="C49" s="965">
        <v>24.718</v>
      </c>
      <c r="D49" s="965">
        <v>27.4</v>
      </c>
      <c r="E49" s="965">
        <v>28.451744000000001</v>
      </c>
      <c r="F49" s="965">
        <v>28.893000000000001</v>
      </c>
      <c r="G49" s="967"/>
      <c r="H49" s="890"/>
      <c r="I49" s="971">
        <v>63</v>
      </c>
      <c r="J49" s="795">
        <v>2</v>
      </c>
      <c r="K49" s="971">
        <f t="shared" ref="K49:K50" si="18">J49+I49</f>
        <v>65</v>
      </c>
      <c r="L49" s="325">
        <v>26.652605999999999</v>
      </c>
      <c r="M49" s="541"/>
      <c r="N49" s="547">
        <f>63+3</f>
        <v>66</v>
      </c>
      <c r="O49" s="546">
        <v>2</v>
      </c>
      <c r="P49" s="547">
        <f t="shared" si="16"/>
        <v>68</v>
      </c>
      <c r="Q49" s="693">
        <v>22.375616000000001</v>
      </c>
      <c r="R49" s="693">
        <v>63</v>
      </c>
      <c r="S49" s="691">
        <v>2</v>
      </c>
      <c r="T49" s="694">
        <f t="shared" si="17"/>
        <v>65</v>
      </c>
    </row>
    <row r="50" spans="1:20" x14ac:dyDescent="0.2">
      <c r="A50" s="61" t="s">
        <v>105</v>
      </c>
      <c r="B50" s="65">
        <v>7.9950000000000001</v>
      </c>
      <c r="C50" s="965">
        <v>15.795</v>
      </c>
      <c r="D50" s="965">
        <v>26.81</v>
      </c>
      <c r="E50" s="965">
        <v>27.775196999999999</v>
      </c>
      <c r="F50" s="965">
        <v>28.285</v>
      </c>
      <c r="G50" s="967"/>
      <c r="H50" s="890"/>
      <c r="I50" s="971">
        <v>123</v>
      </c>
      <c r="K50" s="971">
        <f t="shared" si="18"/>
        <v>123</v>
      </c>
      <c r="L50" s="325">
        <v>26.950082999999999</v>
      </c>
      <c r="M50" s="551"/>
      <c r="N50" s="547">
        <f>121+10</f>
        <v>131</v>
      </c>
      <c r="O50" s="546"/>
      <c r="P50" s="547">
        <f t="shared" si="16"/>
        <v>131</v>
      </c>
      <c r="Q50" s="690">
        <v>20</v>
      </c>
      <c r="R50" s="693">
        <v>121</v>
      </c>
      <c r="S50" s="691"/>
      <c r="T50" s="694">
        <f t="shared" si="17"/>
        <v>121</v>
      </c>
    </row>
    <row r="51" spans="1:20" x14ac:dyDescent="0.2">
      <c r="A51" s="61" t="s">
        <v>104</v>
      </c>
      <c r="B51" s="65">
        <v>9.6539999999999999</v>
      </c>
      <c r="C51" s="965">
        <v>10.441000000000001</v>
      </c>
      <c r="D51" s="965">
        <v>15.776999999999999</v>
      </c>
      <c r="E51" s="965">
        <v>9.3316800000000004</v>
      </c>
      <c r="F51" s="965">
        <v>10.131</v>
      </c>
      <c r="G51" s="967"/>
      <c r="H51" s="890"/>
      <c r="I51" s="971">
        <v>61</v>
      </c>
      <c r="J51" s="795">
        <v>206</v>
      </c>
      <c r="K51" s="971">
        <f t="shared" ref="K51:K53" si="19">J51+I51</f>
        <v>267</v>
      </c>
      <c r="L51" s="325">
        <v>8.4780090000000001</v>
      </c>
      <c r="M51" s="551"/>
      <c r="N51" s="547">
        <f>60+1</f>
        <v>61</v>
      </c>
      <c r="O51" s="546">
        <v>206</v>
      </c>
      <c r="P51" s="547">
        <f t="shared" si="16"/>
        <v>267</v>
      </c>
      <c r="Q51" s="693">
        <v>12.791929</v>
      </c>
      <c r="R51" s="693">
        <v>61</v>
      </c>
      <c r="S51" s="691">
        <v>206</v>
      </c>
      <c r="T51" s="694">
        <f t="shared" si="17"/>
        <v>267</v>
      </c>
    </row>
    <row r="52" spans="1:20" ht="12" x14ac:dyDescent="0.2">
      <c r="A52" s="61" t="s">
        <v>768</v>
      </c>
      <c r="B52" s="65"/>
      <c r="C52" s="965"/>
      <c r="D52" s="965"/>
      <c r="E52" s="965"/>
      <c r="F52" s="965"/>
      <c r="G52" s="974"/>
      <c r="H52" s="890"/>
      <c r="I52" s="971">
        <v>467</v>
      </c>
      <c r="K52" s="971">
        <f t="shared" si="19"/>
        <v>467</v>
      </c>
      <c r="L52" s="544"/>
      <c r="M52" s="551"/>
      <c r="N52" s="547">
        <v>450</v>
      </c>
      <c r="O52" s="546"/>
      <c r="P52" s="547">
        <f t="shared" si="16"/>
        <v>450</v>
      </c>
      <c r="Q52" s="690"/>
      <c r="R52" s="693">
        <v>458</v>
      </c>
      <c r="S52" s="691"/>
      <c r="T52" s="694">
        <f t="shared" si="17"/>
        <v>458</v>
      </c>
    </row>
    <row r="53" spans="1:20" ht="12" x14ac:dyDescent="0.2">
      <c r="A53" s="61" t="s">
        <v>769</v>
      </c>
      <c r="B53" s="65"/>
      <c r="C53" s="965"/>
      <c r="D53" s="965"/>
      <c r="E53" s="965"/>
      <c r="F53" s="965"/>
      <c r="G53" s="974"/>
      <c r="H53" s="890"/>
      <c r="I53" s="971">
        <v>213</v>
      </c>
      <c r="K53" s="971">
        <f t="shared" si="19"/>
        <v>213</v>
      </c>
      <c r="L53" s="544"/>
      <c r="M53" s="551"/>
      <c r="N53" s="547">
        <v>213</v>
      </c>
      <c r="O53" s="546"/>
      <c r="P53" s="547">
        <f t="shared" si="16"/>
        <v>213</v>
      </c>
      <c r="Q53" s="690"/>
      <c r="R53" s="693">
        <v>212</v>
      </c>
      <c r="S53" s="691"/>
      <c r="T53" s="694">
        <f t="shared" si="17"/>
        <v>212</v>
      </c>
    </row>
    <row r="54" spans="1:20" x14ac:dyDescent="0.2">
      <c r="B54" s="358"/>
      <c r="C54" s="975"/>
      <c r="D54" s="975"/>
      <c r="E54" s="975"/>
      <c r="F54" s="975"/>
      <c r="G54" s="980"/>
      <c r="H54" s="890"/>
      <c r="I54" s="981"/>
      <c r="L54" s="552"/>
      <c r="M54" s="538"/>
      <c r="N54" s="554"/>
      <c r="O54" s="546"/>
      <c r="P54" s="546"/>
      <c r="Q54" s="696"/>
      <c r="R54" s="697"/>
      <c r="S54" s="691"/>
      <c r="T54" s="692"/>
    </row>
    <row r="55" spans="1:20" ht="42" x14ac:dyDescent="0.25">
      <c r="A55" s="254" t="s">
        <v>843</v>
      </c>
      <c r="B55" s="65">
        <v>250.691</v>
      </c>
      <c r="C55" s="965">
        <f>SUM(C58:C70)</f>
        <v>248.38699999999997</v>
      </c>
      <c r="D55" s="965">
        <f>SUM(D58:D70)</f>
        <v>253.607</v>
      </c>
      <c r="E55" s="965">
        <f>SUM(E58:E70)</f>
        <v>264.44028200000002</v>
      </c>
      <c r="F55" s="966">
        <f>SUM(F58:F70)</f>
        <v>278.31099999999998</v>
      </c>
      <c r="G55" s="967">
        <f>F55/F$76</f>
        <v>0.17363107942106956</v>
      </c>
      <c r="H55" s="890"/>
      <c r="I55" s="968">
        <f>SUM(I58:I71)</f>
        <v>3101</v>
      </c>
      <c r="J55" s="968">
        <f t="shared" ref="J55:K55" si="20">SUM(J58:J71)</f>
        <v>2520</v>
      </c>
      <c r="K55" s="969">
        <f t="shared" si="20"/>
        <v>5621</v>
      </c>
      <c r="L55" s="335">
        <f>SUM(L58:L70)</f>
        <v>276.99967299999997</v>
      </c>
      <c r="M55" s="541">
        <f>L55/L$76</f>
        <v>0.16972627633297932</v>
      </c>
      <c r="N55" s="542">
        <f>SUM(N58:N71)</f>
        <v>3066</v>
      </c>
      <c r="O55" s="542">
        <f t="shared" ref="O55:P55" si="21">SUM(O58:O71)</f>
        <v>2518</v>
      </c>
      <c r="P55" s="543">
        <f t="shared" si="21"/>
        <v>5584</v>
      </c>
      <c r="Q55" s="693">
        <f>SUM(Q57:Q70)</f>
        <v>404.8288</v>
      </c>
      <c r="R55" s="688">
        <f>SUM(R57:R71)</f>
        <v>3059</v>
      </c>
      <c r="S55" s="349">
        <f>SUM(S57:S71)</f>
        <v>2693</v>
      </c>
      <c r="T55" s="689">
        <f>SUM(T57:T71)</f>
        <v>5752</v>
      </c>
    </row>
    <row r="56" spans="1:20" x14ac:dyDescent="0.2">
      <c r="A56" s="72" t="s">
        <v>72</v>
      </c>
      <c r="B56" s="65"/>
      <c r="C56" s="965"/>
      <c r="D56" s="965"/>
      <c r="E56" s="965"/>
      <c r="F56" s="965"/>
      <c r="G56" s="970" t="s">
        <v>758</v>
      </c>
      <c r="H56" s="890"/>
      <c r="I56" s="971"/>
      <c r="L56" s="325"/>
      <c r="M56" s="545" t="s">
        <v>758</v>
      </c>
      <c r="N56" s="547"/>
      <c r="O56" s="546"/>
      <c r="P56" s="546"/>
      <c r="Q56" s="690"/>
      <c r="R56" s="693"/>
      <c r="S56" s="691"/>
      <c r="T56" s="692"/>
    </row>
    <row r="57" spans="1:20" x14ac:dyDescent="0.2">
      <c r="A57" s="536" t="s">
        <v>842</v>
      </c>
      <c r="B57" s="65"/>
      <c r="C57" s="965"/>
      <c r="D57" s="965"/>
      <c r="E57" s="965"/>
      <c r="F57" s="965"/>
      <c r="G57" s="970"/>
      <c r="H57" s="890"/>
      <c r="I57" s="971"/>
      <c r="L57" s="325"/>
      <c r="M57" s="545"/>
      <c r="N57" s="547"/>
      <c r="O57" s="546"/>
      <c r="P57" s="546"/>
      <c r="Q57" s="693">
        <v>127.5</v>
      </c>
      <c r="R57" s="693"/>
      <c r="S57" s="691">
        <v>176</v>
      </c>
      <c r="T57" s="694">
        <f t="shared" ref="T57:T65" si="22">S57+R57</f>
        <v>176</v>
      </c>
    </row>
    <row r="58" spans="1:20" x14ac:dyDescent="0.2">
      <c r="A58" s="60" t="s">
        <v>74</v>
      </c>
      <c r="B58" s="65">
        <v>99.594999999999999</v>
      </c>
      <c r="C58" s="965">
        <v>101.59399999999999</v>
      </c>
      <c r="D58" s="965">
        <v>102.09399999999999</v>
      </c>
      <c r="E58" s="965">
        <v>106.365689</v>
      </c>
      <c r="F58" s="965">
        <v>109.718</v>
      </c>
      <c r="G58" s="967">
        <f>F58/F$76</f>
        <v>6.8450240098023127E-2</v>
      </c>
      <c r="H58" s="890"/>
      <c r="I58" s="971">
        <v>1062</v>
      </c>
      <c r="K58" s="971">
        <f t="shared" ref="K58:K71" si="23">J58+I58</f>
        <v>1062</v>
      </c>
      <c r="L58" s="325">
        <v>109.712531</v>
      </c>
      <c r="M58" s="541">
        <f>L58/L$76</f>
        <v>6.7224264751014937E-2</v>
      </c>
      <c r="N58" s="547">
        <v>1021</v>
      </c>
      <c r="O58" s="546"/>
      <c r="P58" s="547">
        <f t="shared" ref="P58:P65" si="24">O58+N58</f>
        <v>1021</v>
      </c>
      <c r="Q58" s="693">
        <v>109.712531</v>
      </c>
      <c r="R58" s="693">
        <v>1014</v>
      </c>
      <c r="S58" s="691"/>
      <c r="T58" s="694">
        <f t="shared" si="22"/>
        <v>1014</v>
      </c>
    </row>
    <row r="59" spans="1:20" x14ac:dyDescent="0.2">
      <c r="A59" s="56" t="s">
        <v>540</v>
      </c>
      <c r="B59" s="65">
        <v>50.993000000000002</v>
      </c>
      <c r="C59" s="965">
        <v>51.685000000000002</v>
      </c>
      <c r="D59" s="965">
        <v>52.884999999999998</v>
      </c>
      <c r="E59" s="965">
        <v>57.292988999999999</v>
      </c>
      <c r="F59" s="965">
        <v>61.170999999999999</v>
      </c>
      <c r="G59" s="967"/>
      <c r="H59" s="890"/>
      <c r="I59" s="971">
        <v>804</v>
      </c>
      <c r="J59" s="795">
        <v>1926</v>
      </c>
      <c r="K59" s="971">
        <f t="shared" si="23"/>
        <v>2730</v>
      </c>
      <c r="L59" s="325">
        <v>60.468885</v>
      </c>
      <c r="M59" s="541"/>
      <c r="N59" s="547">
        <v>789</v>
      </c>
      <c r="O59" s="546">
        <v>1926</v>
      </c>
      <c r="P59" s="547">
        <f t="shared" si="24"/>
        <v>2715</v>
      </c>
      <c r="Q59" s="693">
        <v>60.846687000000003</v>
      </c>
      <c r="R59" s="693">
        <v>789</v>
      </c>
      <c r="S59" s="691">
        <v>1926</v>
      </c>
      <c r="T59" s="694">
        <f t="shared" si="22"/>
        <v>2715</v>
      </c>
    </row>
    <row r="60" spans="1:20" x14ac:dyDescent="0.2">
      <c r="A60" s="56" t="s">
        <v>76</v>
      </c>
      <c r="B60" s="65">
        <v>26.552</v>
      </c>
      <c r="C60" s="965">
        <v>27.052</v>
      </c>
      <c r="D60" s="965">
        <v>27.052</v>
      </c>
      <c r="E60" s="965">
        <v>28.152073999999999</v>
      </c>
      <c r="F60" s="965">
        <v>29.44</v>
      </c>
      <c r="G60" s="974"/>
      <c r="H60" s="890"/>
      <c r="I60" s="971">
        <v>350</v>
      </c>
      <c r="J60" s="795">
        <v>93</v>
      </c>
      <c r="K60" s="971">
        <f t="shared" si="23"/>
        <v>443</v>
      </c>
      <c r="L60" s="325">
        <v>29.440117999999998</v>
      </c>
      <c r="M60" s="551"/>
      <c r="N60" s="547">
        <v>349</v>
      </c>
      <c r="O60" s="546">
        <v>93</v>
      </c>
      <c r="P60" s="547">
        <f t="shared" si="24"/>
        <v>442</v>
      </c>
      <c r="Q60" s="693">
        <v>29.392043000000001</v>
      </c>
      <c r="R60" s="693">
        <v>349</v>
      </c>
      <c r="S60" s="691">
        <v>93</v>
      </c>
      <c r="T60" s="694">
        <f t="shared" si="22"/>
        <v>442</v>
      </c>
    </row>
    <row r="61" spans="1:20" x14ac:dyDescent="0.2">
      <c r="A61" s="56" t="s">
        <v>77</v>
      </c>
      <c r="B61" s="65">
        <v>14.098000000000001</v>
      </c>
      <c r="C61" s="965">
        <v>14.108000000000001</v>
      </c>
      <c r="D61" s="965">
        <v>14.198</v>
      </c>
      <c r="E61" s="965">
        <v>14.792628000000001</v>
      </c>
      <c r="F61" s="965">
        <v>15.452</v>
      </c>
      <c r="G61" s="974"/>
      <c r="H61" s="890"/>
      <c r="I61" s="971">
        <v>209</v>
      </c>
      <c r="K61" s="971">
        <f t="shared" si="23"/>
        <v>209</v>
      </c>
      <c r="L61" s="325">
        <v>15.451532</v>
      </c>
      <c r="M61" s="551"/>
      <c r="N61" s="547">
        <v>206</v>
      </c>
      <c r="O61" s="546"/>
      <c r="P61" s="547">
        <f t="shared" si="24"/>
        <v>206</v>
      </c>
      <c r="Q61" s="693">
        <v>15.451532</v>
      </c>
      <c r="R61" s="693">
        <v>206</v>
      </c>
      <c r="S61" s="691"/>
      <c r="T61" s="694">
        <f t="shared" si="22"/>
        <v>206</v>
      </c>
    </row>
    <row r="62" spans="1:20" ht="12" x14ac:dyDescent="0.2">
      <c r="A62" s="56" t="s">
        <v>770</v>
      </c>
      <c r="B62" s="65">
        <v>12.321999999999999</v>
      </c>
      <c r="C62" s="965">
        <v>12.279</v>
      </c>
      <c r="D62" s="965">
        <v>13.51</v>
      </c>
      <c r="E62" s="965">
        <v>14.153995</v>
      </c>
      <c r="F62" s="965">
        <v>14.789</v>
      </c>
      <c r="G62" s="974"/>
      <c r="H62" s="890"/>
      <c r="I62" s="971">
        <v>103</v>
      </c>
      <c r="J62" s="795">
        <v>265</v>
      </c>
      <c r="K62" s="971">
        <f t="shared" si="23"/>
        <v>368</v>
      </c>
      <c r="L62" s="325">
        <v>14.858471</v>
      </c>
      <c r="M62" s="551"/>
      <c r="N62" s="547">
        <v>105</v>
      </c>
      <c r="O62" s="546">
        <v>264</v>
      </c>
      <c r="P62" s="547">
        <f t="shared" si="24"/>
        <v>369</v>
      </c>
      <c r="Q62" s="693">
        <v>14.858471</v>
      </c>
      <c r="R62" s="693">
        <v>105</v>
      </c>
      <c r="S62" s="691">
        <v>264</v>
      </c>
      <c r="T62" s="694">
        <f t="shared" si="22"/>
        <v>369</v>
      </c>
    </row>
    <row r="63" spans="1:20" x14ac:dyDescent="0.2">
      <c r="A63" s="56" t="s">
        <v>695</v>
      </c>
      <c r="B63" s="65">
        <v>11.677</v>
      </c>
      <c r="C63" s="965">
        <v>11.678000000000001</v>
      </c>
      <c r="D63" s="965">
        <v>11.928000000000001</v>
      </c>
      <c r="E63" s="965">
        <v>12.327636999999999</v>
      </c>
      <c r="F63" s="965">
        <v>12.901999999999999</v>
      </c>
      <c r="G63" s="974"/>
      <c r="H63" s="890"/>
      <c r="I63" s="971">
        <v>152</v>
      </c>
      <c r="J63" s="795">
        <v>65</v>
      </c>
      <c r="K63" s="971">
        <f t="shared" si="23"/>
        <v>217</v>
      </c>
      <c r="L63" s="325">
        <v>12.901816999999999</v>
      </c>
      <c r="M63" s="551"/>
      <c r="N63" s="547">
        <v>152</v>
      </c>
      <c r="O63" s="546">
        <v>65</v>
      </c>
      <c r="P63" s="547">
        <f t="shared" si="24"/>
        <v>217</v>
      </c>
      <c r="Q63" s="693">
        <v>12.901816999999999</v>
      </c>
      <c r="R63" s="693">
        <v>152</v>
      </c>
      <c r="S63" s="691">
        <v>65</v>
      </c>
      <c r="T63" s="694">
        <f t="shared" si="22"/>
        <v>217</v>
      </c>
    </row>
    <row r="64" spans="1:20" x14ac:dyDescent="0.2">
      <c r="A64" s="56" t="s">
        <v>696</v>
      </c>
      <c r="B64" s="65">
        <v>8.4870000000000001</v>
      </c>
      <c r="C64" s="965">
        <v>8.4619999999999997</v>
      </c>
      <c r="D64" s="965">
        <v>9.1620000000000008</v>
      </c>
      <c r="E64" s="965">
        <v>9.6263260000000006</v>
      </c>
      <c r="F64" s="965">
        <v>10.307</v>
      </c>
      <c r="G64" s="974"/>
      <c r="H64" s="890"/>
      <c r="I64" s="971">
        <v>110</v>
      </c>
      <c r="J64" s="795">
        <v>99</v>
      </c>
      <c r="K64" s="971">
        <f t="shared" si="23"/>
        <v>209</v>
      </c>
      <c r="L64" s="325">
        <v>10.497669</v>
      </c>
      <c r="M64" s="551"/>
      <c r="N64" s="547">
        <v>111</v>
      </c>
      <c r="O64" s="546">
        <v>98</v>
      </c>
      <c r="P64" s="547">
        <f t="shared" si="24"/>
        <v>209</v>
      </c>
      <c r="Q64" s="693">
        <v>10.497069</v>
      </c>
      <c r="R64" s="693">
        <v>111</v>
      </c>
      <c r="S64" s="691">
        <v>97</v>
      </c>
      <c r="T64" s="694">
        <f t="shared" si="22"/>
        <v>208</v>
      </c>
    </row>
    <row r="65" spans="1:20" x14ac:dyDescent="0.2">
      <c r="A65" s="60" t="s">
        <v>99</v>
      </c>
      <c r="B65" s="65">
        <v>6.1630000000000003</v>
      </c>
      <c r="C65" s="965">
        <v>6.1630000000000003</v>
      </c>
      <c r="D65" s="965">
        <v>7.4119999999999999</v>
      </c>
      <c r="E65" s="965">
        <v>7.7311269999999999</v>
      </c>
      <c r="F65" s="965">
        <v>7.9619999999999997</v>
      </c>
      <c r="G65" s="974"/>
      <c r="H65" s="890"/>
      <c r="I65" s="971">
        <v>67</v>
      </c>
      <c r="K65" s="971">
        <f t="shared" si="23"/>
        <v>67</v>
      </c>
      <c r="L65" s="325">
        <v>7.9621529999999998</v>
      </c>
      <c r="M65" s="551"/>
      <c r="N65" s="547">
        <f>76+1</f>
        <v>77</v>
      </c>
      <c r="O65" s="546"/>
      <c r="P65" s="547">
        <f t="shared" si="24"/>
        <v>77</v>
      </c>
      <c r="Q65" s="693">
        <v>7.9621529999999998</v>
      </c>
      <c r="R65" s="693">
        <f>76+1</f>
        <v>77</v>
      </c>
      <c r="S65" s="691"/>
      <c r="T65" s="694">
        <f t="shared" si="22"/>
        <v>77</v>
      </c>
    </row>
    <row r="66" spans="1:20" x14ac:dyDescent="0.2">
      <c r="A66" s="135" t="s">
        <v>100</v>
      </c>
      <c r="B66" s="65">
        <v>6.1</v>
      </c>
      <c r="C66" s="965"/>
      <c r="D66" s="965"/>
      <c r="E66" s="965"/>
      <c r="F66" s="965"/>
      <c r="G66" s="974"/>
      <c r="H66" s="890"/>
      <c r="I66" s="971"/>
      <c r="K66" s="971"/>
      <c r="L66" s="325"/>
      <c r="M66" s="551"/>
      <c r="N66" s="547"/>
      <c r="O66" s="546"/>
      <c r="P66" s="547"/>
      <c r="Q66" s="693"/>
      <c r="R66" s="693"/>
      <c r="S66" s="691"/>
      <c r="T66" s="694"/>
    </row>
    <row r="67" spans="1:20" ht="12" x14ac:dyDescent="0.2">
      <c r="A67" s="60" t="s">
        <v>771</v>
      </c>
      <c r="B67" s="65">
        <v>5.5970000000000004</v>
      </c>
      <c r="C67" s="965">
        <v>6.2590000000000003</v>
      </c>
      <c r="D67" s="965">
        <v>6.2590000000000003</v>
      </c>
      <c r="E67" s="965">
        <v>4.4756299999999998</v>
      </c>
      <c r="F67" s="965">
        <v>6.6120000000000001</v>
      </c>
      <c r="G67" s="974"/>
      <c r="H67" s="890"/>
      <c r="I67" s="971">
        <v>68</v>
      </c>
      <c r="K67" s="971">
        <f t="shared" si="23"/>
        <v>68</v>
      </c>
      <c r="L67" s="325">
        <v>4.6486689999999999</v>
      </c>
      <c r="M67" s="551"/>
      <c r="N67" s="547">
        <v>68</v>
      </c>
      <c r="O67" s="546"/>
      <c r="P67" s="547">
        <f t="shared" ref="P67:P71" si="25">O67+N67</f>
        <v>68</v>
      </c>
      <c r="Q67" s="693">
        <v>4.6486689999999999</v>
      </c>
      <c r="R67" s="693">
        <v>68</v>
      </c>
      <c r="S67" s="691"/>
      <c r="T67" s="694">
        <f t="shared" ref="T67:T71" si="26">S67+R67</f>
        <v>68</v>
      </c>
    </row>
    <row r="68" spans="1:20" x14ac:dyDescent="0.2">
      <c r="A68" s="60" t="s">
        <v>106</v>
      </c>
      <c r="B68" s="65">
        <v>3.9350000000000001</v>
      </c>
      <c r="C68" s="965">
        <v>3.9350000000000001</v>
      </c>
      <c r="D68" s="965">
        <v>3.9350000000000001</v>
      </c>
      <c r="E68" s="965">
        <v>4.0999340000000002</v>
      </c>
      <c r="F68" s="965">
        <v>4.2510000000000003</v>
      </c>
      <c r="G68" s="974"/>
      <c r="H68" s="890"/>
      <c r="I68" s="971">
        <v>44</v>
      </c>
      <c r="J68" s="795">
        <v>18</v>
      </c>
      <c r="K68" s="971">
        <f t="shared" si="23"/>
        <v>62</v>
      </c>
      <c r="L68" s="325">
        <v>5.3505880000000001</v>
      </c>
      <c r="M68" s="551"/>
      <c r="N68" s="547">
        <v>41</v>
      </c>
      <c r="O68" s="546">
        <v>18</v>
      </c>
      <c r="P68" s="547">
        <f t="shared" si="25"/>
        <v>59</v>
      </c>
      <c r="Q68" s="693">
        <v>5.3505880000000001</v>
      </c>
      <c r="R68" s="693">
        <v>41</v>
      </c>
      <c r="S68" s="691">
        <v>18</v>
      </c>
      <c r="T68" s="694">
        <f t="shared" si="26"/>
        <v>59</v>
      </c>
    </row>
    <row r="69" spans="1:20" x14ac:dyDescent="0.2">
      <c r="A69" s="60" t="s">
        <v>693</v>
      </c>
      <c r="B69" s="65">
        <v>3.3370000000000002</v>
      </c>
      <c r="C69" s="965">
        <v>3.3370000000000002</v>
      </c>
      <c r="D69" s="965">
        <v>3.3370000000000002</v>
      </c>
      <c r="E69" s="965">
        <v>3.4370470000000002</v>
      </c>
      <c r="F69" s="965">
        <v>3.5539999999999998</v>
      </c>
      <c r="G69" s="974"/>
      <c r="H69" s="890"/>
      <c r="I69" s="795">
        <v>37</v>
      </c>
      <c r="K69" s="971">
        <f t="shared" si="23"/>
        <v>37</v>
      </c>
      <c r="L69" s="325">
        <v>3.5541900000000002</v>
      </c>
      <c r="M69" s="551"/>
      <c r="N69" s="546">
        <v>37</v>
      </c>
      <c r="O69" s="546"/>
      <c r="P69" s="547">
        <f t="shared" si="25"/>
        <v>37</v>
      </c>
      <c r="Q69" s="693">
        <v>3.5541900000000002</v>
      </c>
      <c r="R69" s="690">
        <v>37</v>
      </c>
      <c r="S69" s="691"/>
      <c r="T69" s="694">
        <f t="shared" si="26"/>
        <v>37</v>
      </c>
    </row>
    <row r="70" spans="1:20" x14ac:dyDescent="0.2">
      <c r="A70" s="60" t="s">
        <v>107</v>
      </c>
      <c r="B70" s="65">
        <v>1.835</v>
      </c>
      <c r="C70" s="965">
        <v>1.835</v>
      </c>
      <c r="D70" s="965">
        <v>1.835</v>
      </c>
      <c r="E70" s="965">
        <v>1.985206</v>
      </c>
      <c r="F70" s="965">
        <v>2.153</v>
      </c>
      <c r="G70" s="974"/>
      <c r="H70" s="890"/>
      <c r="I70" s="971">
        <v>33</v>
      </c>
      <c r="J70" s="795">
        <v>54</v>
      </c>
      <c r="K70" s="971">
        <f t="shared" si="23"/>
        <v>87</v>
      </c>
      <c r="L70" s="325">
        <v>2.1530499999999999</v>
      </c>
      <c r="M70" s="551"/>
      <c r="N70" s="547">
        <f>32+9</f>
        <v>41</v>
      </c>
      <c r="O70" s="546">
        <v>54</v>
      </c>
      <c r="P70" s="547">
        <f t="shared" si="25"/>
        <v>95</v>
      </c>
      <c r="Q70" s="693">
        <v>2.1530499999999999</v>
      </c>
      <c r="R70" s="693">
        <f>32+9</f>
        <v>41</v>
      </c>
      <c r="S70" s="691">
        <v>54</v>
      </c>
      <c r="T70" s="694">
        <f t="shared" si="26"/>
        <v>95</v>
      </c>
    </row>
    <row r="71" spans="1:20" ht="12" x14ac:dyDescent="0.2">
      <c r="A71" s="56" t="s">
        <v>772</v>
      </c>
      <c r="B71" s="65"/>
      <c r="C71" s="965"/>
      <c r="D71" s="965"/>
      <c r="E71" s="965"/>
      <c r="F71" s="965"/>
      <c r="G71" s="974"/>
      <c r="H71" s="890"/>
      <c r="I71" s="971">
        <v>62</v>
      </c>
      <c r="K71" s="971">
        <f t="shared" si="23"/>
        <v>62</v>
      </c>
      <c r="L71" s="544"/>
      <c r="M71" s="551"/>
      <c r="N71" s="547">
        <v>69</v>
      </c>
      <c r="O71" s="546"/>
      <c r="P71" s="547">
        <f t="shared" si="25"/>
        <v>69</v>
      </c>
      <c r="Q71" s="690"/>
      <c r="R71" s="693">
        <v>69</v>
      </c>
      <c r="S71" s="691"/>
      <c r="T71" s="694">
        <f t="shared" si="26"/>
        <v>69</v>
      </c>
    </row>
    <row r="72" spans="1:20" x14ac:dyDescent="0.2">
      <c r="A72" s="56"/>
      <c r="B72" s="358"/>
      <c r="C72" s="975"/>
      <c r="D72" s="975"/>
      <c r="E72" s="975"/>
      <c r="F72" s="975"/>
      <c r="G72" s="976"/>
      <c r="H72" s="890"/>
      <c r="I72" s="971"/>
      <c r="L72" s="552"/>
      <c r="M72" s="538"/>
      <c r="N72" s="547"/>
      <c r="O72" s="546"/>
      <c r="P72" s="546"/>
      <c r="Q72" s="696"/>
      <c r="R72" s="693"/>
      <c r="S72" s="691"/>
      <c r="T72" s="692"/>
    </row>
    <row r="73" spans="1:20" ht="10.5" x14ac:dyDescent="0.2">
      <c r="A73" s="59" t="s">
        <v>110</v>
      </c>
      <c r="B73" s="65"/>
      <c r="C73" s="965"/>
      <c r="D73" s="965"/>
      <c r="E73" s="965"/>
      <c r="F73" s="965"/>
      <c r="G73" s="982"/>
      <c r="H73" s="890"/>
      <c r="I73" s="983"/>
      <c r="J73" s="984"/>
      <c r="K73" s="984"/>
      <c r="L73" s="544"/>
      <c r="M73" s="551"/>
      <c r="N73" s="555"/>
      <c r="O73" s="556"/>
      <c r="P73" s="556"/>
      <c r="Q73" s="690"/>
      <c r="R73" s="698"/>
      <c r="S73" s="360"/>
      <c r="T73" s="699"/>
    </row>
    <row r="74" spans="1:20" ht="12.5" x14ac:dyDescent="0.25">
      <c r="A74" s="61" t="s">
        <v>773</v>
      </c>
      <c r="B74" s="65">
        <v>12.215999999999999</v>
      </c>
      <c r="C74" s="965">
        <v>12.215999999999999</v>
      </c>
      <c r="D74" s="965">
        <v>12.215999999999999</v>
      </c>
      <c r="E74" s="965">
        <v>12.215741</v>
      </c>
      <c r="F74" s="966">
        <v>12.577</v>
      </c>
      <c r="G74" s="967">
        <f>F74/F$76</f>
        <v>7.846467031050847E-3</v>
      </c>
      <c r="H74" s="890"/>
      <c r="I74" s="965">
        <v>131</v>
      </c>
      <c r="K74" s="985">
        <f t="shared" ref="K74" si="27">J74+I74</f>
        <v>131</v>
      </c>
      <c r="L74" s="335">
        <v>12.536629</v>
      </c>
      <c r="M74" s="551"/>
      <c r="N74" s="557">
        <f>129+3</f>
        <v>132</v>
      </c>
      <c r="O74" s="546"/>
      <c r="P74" s="558">
        <f t="shared" ref="P74" si="28">O74+N74</f>
        <v>132</v>
      </c>
      <c r="Q74" s="693">
        <v>12.536629</v>
      </c>
      <c r="R74" s="695">
        <v>136</v>
      </c>
      <c r="S74" s="691"/>
      <c r="T74" s="700">
        <f t="shared" ref="T74" si="29">S74+R74</f>
        <v>136</v>
      </c>
    </row>
    <row r="75" spans="1:20" x14ac:dyDescent="0.2">
      <c r="A75" s="60"/>
      <c r="B75" s="358"/>
      <c r="C75" s="975"/>
      <c r="D75" s="975"/>
      <c r="E75" s="975"/>
      <c r="F75" s="975"/>
      <c r="G75" s="980"/>
      <c r="H75" s="890"/>
      <c r="I75" s="981"/>
      <c r="L75" s="552"/>
      <c r="M75" s="538"/>
      <c r="N75" s="554"/>
      <c r="O75" s="546"/>
      <c r="P75" s="546"/>
      <c r="Q75" s="696"/>
      <c r="R75" s="697"/>
      <c r="S75" s="691"/>
      <c r="T75" s="692"/>
    </row>
    <row r="76" spans="1:20" ht="10.5" x14ac:dyDescent="0.25">
      <c r="A76" s="59" t="s">
        <v>6</v>
      </c>
      <c r="B76" s="65">
        <v>1354.3130000000001</v>
      </c>
      <c r="C76" s="965">
        <f>C74+C46+C55+C28+C7</f>
        <v>1393.652</v>
      </c>
      <c r="D76" s="965">
        <f>D74+D46+D55+D28+D7</f>
        <v>1430.9270000000001</v>
      </c>
      <c r="E76" s="965">
        <f>E74+E46+E55+E28+E7</f>
        <v>1520.5463470000002</v>
      </c>
      <c r="F76" s="966">
        <f>F74+F46+F55+F28+F7</f>
        <v>1602.8870000000002</v>
      </c>
      <c r="G76" s="967">
        <f>D76/D$76</f>
        <v>1</v>
      </c>
      <c r="H76" s="890"/>
      <c r="I76" s="968">
        <f>I74+I46+I55+I28+I7</f>
        <v>20302</v>
      </c>
      <c r="J76" s="968">
        <f>J74+J46+J55+J28+J7</f>
        <v>3465</v>
      </c>
      <c r="K76" s="969">
        <f>K74+K46+K55+K28+K7</f>
        <v>23767</v>
      </c>
      <c r="L76" s="559">
        <f>L74+L46+L55+L28+L7</f>
        <v>1632.0376490000003</v>
      </c>
      <c r="M76" s="551"/>
      <c r="N76" s="542">
        <f t="shared" ref="N76:T76" si="30">N74+N46+N55+N28+N7</f>
        <v>20480</v>
      </c>
      <c r="O76" s="542">
        <f t="shared" si="30"/>
        <v>3463</v>
      </c>
      <c r="P76" s="543">
        <f t="shared" si="30"/>
        <v>23943</v>
      </c>
      <c r="Q76" s="701">
        <f t="shared" si="30"/>
        <v>1696.2601790000003</v>
      </c>
      <c r="R76" s="688">
        <f t="shared" si="30"/>
        <v>20604</v>
      </c>
      <c r="S76" s="349">
        <f t="shared" si="30"/>
        <v>3422</v>
      </c>
      <c r="T76" s="689">
        <f t="shared" si="30"/>
        <v>24026</v>
      </c>
    </row>
    <row r="77" spans="1:20" ht="10.5" x14ac:dyDescent="0.25">
      <c r="A77" s="411" t="s">
        <v>798</v>
      </c>
      <c r="B77" s="413">
        <f>B76/'Tableau 1'!C17</f>
        <v>0.37025220511661217</v>
      </c>
      <c r="C77" s="986">
        <f>C76/'Tableau 1'!E17</f>
        <v>0.36622344625611053</v>
      </c>
      <c r="D77" s="986">
        <f>D76/'Tableau 1'!G17</f>
        <v>0.34594957243673596</v>
      </c>
      <c r="E77" s="986">
        <f>E76/'Tableau 1'!I17</f>
        <v>0.34380106416465106</v>
      </c>
      <c r="F77" s="986">
        <f>F76/'Tableau 1'!K17</f>
        <v>0.34537030346207725</v>
      </c>
      <c r="G77" s="967"/>
      <c r="H77" s="890"/>
      <c r="I77" s="987"/>
      <c r="J77" s="987"/>
      <c r="K77" s="988"/>
      <c r="L77" s="564">
        <f>L76/'Tableau 1'!O17</f>
        <v>0.35188155300750007</v>
      </c>
      <c r="M77" s="551"/>
      <c r="N77" s="509"/>
      <c r="O77" s="509"/>
      <c r="P77" s="510"/>
      <c r="Q77" s="690"/>
      <c r="R77" s="412"/>
      <c r="S77" s="412"/>
      <c r="T77" s="700"/>
    </row>
    <row r="78" spans="1:20" ht="12.5" x14ac:dyDescent="0.25">
      <c r="A78" s="57"/>
      <c r="B78" s="54"/>
      <c r="F78" s="989"/>
      <c r="I78" s="989"/>
      <c r="N78" s="54"/>
    </row>
    <row r="79" spans="1:20" x14ac:dyDescent="0.2">
      <c r="A79" s="1055" t="s">
        <v>111</v>
      </c>
      <c r="B79" s="1055"/>
      <c r="C79" s="1055"/>
      <c r="D79" s="1055"/>
      <c r="E79" s="1055"/>
      <c r="F79" s="1055"/>
      <c r="G79" s="1055"/>
    </row>
    <row r="81" spans="1:16" ht="23.9" customHeight="1" x14ac:dyDescent="0.2">
      <c r="A81" s="1055" t="s">
        <v>109</v>
      </c>
      <c r="B81" s="1055"/>
      <c r="C81" s="1055"/>
      <c r="D81" s="1055"/>
      <c r="E81" s="1055"/>
      <c r="F81" s="1055"/>
      <c r="G81" s="1055"/>
    </row>
    <row r="82" spans="1:16" ht="14.4" customHeight="1" x14ac:dyDescent="0.2">
      <c r="A82" s="1063" t="s">
        <v>115</v>
      </c>
      <c r="B82" s="1063"/>
      <c r="C82" s="1063"/>
      <c r="D82" s="1063"/>
      <c r="E82" s="1063"/>
    </row>
    <row r="83" spans="1:16" ht="15" customHeight="1" x14ac:dyDescent="0.2">
      <c r="A83" s="1063" t="s">
        <v>801</v>
      </c>
      <c r="B83" s="1063"/>
      <c r="C83" s="1063"/>
      <c r="D83" s="1063"/>
    </row>
    <row r="84" spans="1:16" x14ac:dyDescent="0.2">
      <c r="A84" s="193"/>
    </row>
    <row r="85" spans="1:16" ht="12.9" customHeight="1" x14ac:dyDescent="0.2">
      <c r="A85" s="1055" t="s">
        <v>701</v>
      </c>
      <c r="B85" s="1055"/>
      <c r="C85" s="1055"/>
      <c r="D85" s="1055"/>
      <c r="E85" s="1055"/>
      <c r="F85" s="1055"/>
      <c r="G85" s="1055"/>
    </row>
    <row r="86" spans="1:16" ht="13.4" customHeight="1" x14ac:dyDescent="0.2">
      <c r="A86" s="1055" t="s">
        <v>702</v>
      </c>
      <c r="B86" s="1055"/>
      <c r="C86" s="1055"/>
      <c r="D86" s="1055"/>
      <c r="E86" s="1055"/>
      <c r="F86" s="1055"/>
      <c r="G86" s="1055"/>
    </row>
    <row r="87" spans="1:16" ht="41.4" customHeight="1" x14ac:dyDescent="0.2">
      <c r="A87" s="1055" t="s">
        <v>703</v>
      </c>
      <c r="B87" s="1055"/>
      <c r="C87" s="1055"/>
      <c r="D87" s="1055"/>
      <c r="E87" s="1055"/>
      <c r="F87" s="1055"/>
      <c r="G87" s="1055"/>
    </row>
    <row r="88" spans="1:16" ht="58.4" customHeight="1" x14ac:dyDescent="0.35">
      <c r="A88" s="1057" t="s">
        <v>766</v>
      </c>
      <c r="B88" s="1057"/>
      <c r="C88" s="1057"/>
      <c r="D88" s="1057"/>
      <c r="E88" s="1057"/>
      <c r="F88" s="1057"/>
      <c r="G88" s="1057"/>
      <c r="J88" s="990"/>
      <c r="K88" s="991"/>
      <c r="O88" s="124"/>
      <c r="P88" s="121"/>
    </row>
    <row r="89" spans="1:16" ht="38.15" customHeight="1" x14ac:dyDescent="0.2">
      <c r="A89" s="1057" t="s">
        <v>759</v>
      </c>
      <c r="B89" s="1057"/>
      <c r="C89" s="1057"/>
      <c r="D89" s="1057"/>
      <c r="E89" s="1057"/>
      <c r="F89" s="1057"/>
      <c r="G89" s="1057"/>
    </row>
    <row r="90" spans="1:16" ht="26.15" customHeight="1" x14ac:dyDescent="0.35">
      <c r="A90" s="1055" t="s">
        <v>764</v>
      </c>
      <c r="B90" s="1055"/>
      <c r="C90" s="1055"/>
      <c r="D90" s="1055"/>
      <c r="E90" s="1055"/>
      <c r="F90" s="1055"/>
      <c r="G90" s="1055"/>
      <c r="J90" s="990"/>
      <c r="K90" s="992"/>
      <c r="O90" s="124"/>
      <c r="P90" s="122"/>
    </row>
    <row r="91" spans="1:16" ht="24.65" customHeight="1" x14ac:dyDescent="0.25">
      <c r="A91" s="1055" t="s">
        <v>763</v>
      </c>
      <c r="B91" s="1055"/>
      <c r="C91" s="1055"/>
      <c r="D91" s="1055"/>
      <c r="E91" s="1055"/>
      <c r="F91" s="1055"/>
      <c r="G91" s="1055"/>
      <c r="J91" s="993"/>
      <c r="K91" s="992"/>
      <c r="O91" s="125"/>
      <c r="P91" s="122"/>
    </row>
    <row r="92" spans="1:16" ht="27.65" customHeight="1" x14ac:dyDescent="0.35">
      <c r="A92" s="1055" t="s">
        <v>765</v>
      </c>
      <c r="B92" s="1055"/>
      <c r="C92" s="1055"/>
      <c r="D92" s="1055"/>
      <c r="E92" s="1055"/>
      <c r="F92" s="1055"/>
      <c r="G92" s="1055"/>
      <c r="J92" s="990"/>
      <c r="K92" s="992"/>
      <c r="O92" s="124"/>
      <c r="P92" s="122"/>
    </row>
    <row r="93" spans="1:16" ht="12.5" x14ac:dyDescent="0.25">
      <c r="A93" s="1058" t="s">
        <v>762</v>
      </c>
      <c r="B93" s="1058"/>
      <c r="C93" s="1058"/>
      <c r="D93" s="1058"/>
      <c r="E93" s="1058"/>
      <c r="F93" s="1058"/>
      <c r="G93" s="1058"/>
      <c r="J93" s="993"/>
      <c r="K93" s="992"/>
      <c r="O93" s="125"/>
      <c r="P93" s="122"/>
    </row>
    <row r="94" spans="1:16" ht="26.15" customHeight="1" x14ac:dyDescent="0.25">
      <c r="A94" s="1055" t="s">
        <v>761</v>
      </c>
      <c r="B94" s="1055"/>
      <c r="C94" s="1055"/>
      <c r="D94" s="1055"/>
      <c r="E94" s="1055"/>
      <c r="F94" s="1055"/>
      <c r="G94" s="1055"/>
      <c r="I94" s="835"/>
      <c r="N94" s="93"/>
    </row>
    <row r="95" spans="1:16" ht="23.15" customHeight="1" x14ac:dyDescent="0.2">
      <c r="A95" s="1055" t="s">
        <v>704</v>
      </c>
      <c r="B95" s="1055"/>
      <c r="C95" s="1055"/>
      <c r="D95" s="1055"/>
      <c r="E95" s="1055"/>
      <c r="F95" s="1055"/>
      <c r="G95" s="1055"/>
    </row>
    <row r="97" spans="1:16" x14ac:dyDescent="0.2">
      <c r="A97" s="3" t="s">
        <v>829</v>
      </c>
    </row>
    <row r="99" spans="1:16" ht="10.5" x14ac:dyDescent="0.25">
      <c r="A99" s="128"/>
    </row>
    <row r="100" spans="1:16" ht="12.5" x14ac:dyDescent="0.25">
      <c r="A100" s="96"/>
    </row>
    <row r="101" spans="1:16" ht="10.5" x14ac:dyDescent="0.25">
      <c r="A101" s="128"/>
    </row>
    <row r="102" spans="1:16" ht="38.9" customHeight="1" x14ac:dyDescent="0.2">
      <c r="A102" s="1055"/>
      <c r="B102" s="1055"/>
      <c r="C102" s="1055"/>
      <c r="D102" s="1055"/>
      <c r="E102" s="1055"/>
      <c r="F102" s="1055"/>
      <c r="G102" s="1055"/>
    </row>
    <row r="103" spans="1:16" ht="12.5" x14ac:dyDescent="0.25">
      <c r="B103" s="94"/>
      <c r="C103" s="994"/>
      <c r="D103" s="994"/>
      <c r="E103" s="994"/>
      <c r="F103" s="994"/>
      <c r="G103" s="994"/>
      <c r="I103" s="994"/>
      <c r="J103" s="995"/>
      <c r="N103" s="94"/>
      <c r="O103" s="123"/>
    </row>
    <row r="104" spans="1:16" ht="12.5" x14ac:dyDescent="0.25">
      <c r="J104" s="993"/>
      <c r="K104" s="992"/>
      <c r="O104" s="125"/>
      <c r="P104" s="122"/>
    </row>
    <row r="105" spans="1:16" ht="14.5" x14ac:dyDescent="0.35">
      <c r="J105" s="990"/>
      <c r="K105" s="992"/>
      <c r="O105" s="124"/>
      <c r="P105" s="122"/>
    </row>
    <row r="106" spans="1:16" ht="12.5" x14ac:dyDescent="0.25">
      <c r="J106" s="993"/>
      <c r="K106" s="992"/>
      <c r="O106" s="125"/>
      <c r="P106" s="122"/>
    </row>
    <row r="107" spans="1:16" ht="12.5" x14ac:dyDescent="0.25">
      <c r="J107" s="993"/>
      <c r="K107" s="992"/>
      <c r="O107" s="125"/>
      <c r="P107" s="122"/>
    </row>
    <row r="108" spans="1:16" ht="14.5" x14ac:dyDescent="0.35">
      <c r="J108" s="990"/>
      <c r="K108" s="992"/>
      <c r="O108" s="124"/>
      <c r="P108" s="122"/>
    </row>
    <row r="109" spans="1:16" ht="12.5" x14ac:dyDescent="0.25">
      <c r="J109" s="993"/>
      <c r="K109" s="992"/>
      <c r="O109" s="125"/>
      <c r="P109" s="122"/>
    </row>
    <row r="110" spans="1:16" ht="12.5" x14ac:dyDescent="0.25">
      <c r="J110" s="993"/>
      <c r="K110" s="992"/>
      <c r="O110" s="125"/>
      <c r="P110" s="122"/>
    </row>
    <row r="111" spans="1:16" ht="12.5" x14ac:dyDescent="0.25">
      <c r="J111" s="993"/>
      <c r="K111" s="992"/>
      <c r="O111" s="125"/>
      <c r="P111" s="122"/>
    </row>
    <row r="112" spans="1:16" ht="14.5" x14ac:dyDescent="0.35">
      <c r="J112" s="990"/>
      <c r="K112" s="992"/>
      <c r="O112" s="124"/>
      <c r="P112" s="122"/>
    </row>
    <row r="113" spans="10:16" ht="12.5" x14ac:dyDescent="0.25">
      <c r="J113" s="993"/>
      <c r="K113" s="992"/>
      <c r="O113" s="125"/>
      <c r="P113" s="122"/>
    </row>
    <row r="114" spans="10:16" ht="12.5" x14ac:dyDescent="0.25">
      <c r="J114" s="993"/>
      <c r="K114" s="992"/>
      <c r="O114" s="125"/>
      <c r="P114" s="122"/>
    </row>
    <row r="115" spans="10:16" ht="12.5" x14ac:dyDescent="0.25">
      <c r="J115" s="993"/>
      <c r="K115" s="992"/>
      <c r="O115" s="125"/>
      <c r="P115" s="122"/>
    </row>
    <row r="116" spans="10:16" ht="14.5" x14ac:dyDescent="0.35">
      <c r="J116" s="990"/>
      <c r="K116" s="992"/>
      <c r="O116" s="124"/>
      <c r="P116" s="122"/>
    </row>
    <row r="117" spans="10:16" ht="12.5" x14ac:dyDescent="0.25">
      <c r="J117" s="993"/>
      <c r="K117" s="992"/>
      <c r="O117" s="125"/>
      <c r="P117" s="122"/>
    </row>
    <row r="118" spans="10:16" ht="14.5" x14ac:dyDescent="0.35">
      <c r="J118" s="990"/>
      <c r="K118" s="992"/>
      <c r="O118" s="124"/>
      <c r="P118" s="122"/>
    </row>
    <row r="119" spans="10:16" ht="14.5" x14ac:dyDescent="0.35">
      <c r="J119" s="990"/>
      <c r="K119" s="992"/>
      <c r="O119" s="124"/>
      <c r="P119" s="122"/>
    </row>
    <row r="120" spans="10:16" ht="12.5" x14ac:dyDescent="0.25">
      <c r="J120" s="993"/>
      <c r="K120" s="992"/>
      <c r="O120" s="125"/>
      <c r="P120" s="122"/>
    </row>
    <row r="121" spans="10:16" ht="14.5" x14ac:dyDescent="0.35">
      <c r="J121" s="990"/>
      <c r="K121" s="992"/>
      <c r="O121" s="124"/>
      <c r="P121" s="122"/>
    </row>
    <row r="122" spans="10:16" ht="14.5" x14ac:dyDescent="0.35">
      <c r="J122" s="990"/>
      <c r="K122" s="992"/>
      <c r="O122" s="124"/>
      <c r="P122" s="122"/>
    </row>
    <row r="123" spans="10:16" ht="14.5" x14ac:dyDescent="0.35">
      <c r="J123" s="990"/>
      <c r="K123" s="992"/>
      <c r="O123" s="124"/>
      <c r="P123" s="122"/>
    </row>
    <row r="124" spans="10:16" ht="12.5" x14ac:dyDescent="0.25">
      <c r="J124" s="993"/>
      <c r="K124" s="992"/>
      <c r="O124" s="125"/>
      <c r="P124" s="122"/>
    </row>
    <row r="125" spans="10:16" ht="12.5" x14ac:dyDescent="0.25">
      <c r="J125" s="993"/>
      <c r="K125" s="992"/>
      <c r="O125" s="125"/>
      <c r="P125" s="122"/>
    </row>
    <row r="126" spans="10:16" ht="12.5" x14ac:dyDescent="0.25">
      <c r="J126" s="993"/>
      <c r="K126" s="992"/>
      <c r="O126" s="125"/>
      <c r="P126" s="122"/>
    </row>
    <row r="127" spans="10:16" ht="12.5" x14ac:dyDescent="0.25">
      <c r="J127" s="993"/>
      <c r="K127" s="992"/>
      <c r="O127" s="125"/>
      <c r="P127" s="122"/>
    </row>
    <row r="128" spans="10:16" ht="12.5" x14ac:dyDescent="0.25">
      <c r="J128" s="993"/>
      <c r="K128" s="992"/>
      <c r="O128" s="125"/>
      <c r="P128" s="122"/>
    </row>
    <row r="129" spans="10:16" ht="12.5" x14ac:dyDescent="0.25">
      <c r="J129" s="993"/>
      <c r="K129" s="992"/>
      <c r="O129" s="125"/>
      <c r="P129" s="122"/>
    </row>
    <row r="130" spans="10:16" ht="12.5" x14ac:dyDescent="0.25">
      <c r="J130" s="993"/>
      <c r="K130" s="992"/>
      <c r="O130" s="125"/>
      <c r="P130" s="122"/>
    </row>
    <row r="131" spans="10:16" ht="14.5" x14ac:dyDescent="0.35">
      <c r="J131" s="990"/>
      <c r="K131" s="992"/>
      <c r="O131" s="124"/>
      <c r="P131" s="122"/>
    </row>
    <row r="132" spans="10:16" ht="12.5" x14ac:dyDescent="0.25">
      <c r="J132" s="993"/>
      <c r="K132" s="992"/>
      <c r="O132" s="125"/>
      <c r="P132" s="122"/>
    </row>
    <row r="133" spans="10:16" ht="14.5" x14ac:dyDescent="0.35">
      <c r="J133" s="993"/>
      <c r="K133" s="991"/>
      <c r="O133" s="125"/>
      <c r="P133" s="121"/>
    </row>
    <row r="134" spans="10:16" ht="14.5" x14ac:dyDescent="0.35">
      <c r="J134" s="993"/>
      <c r="K134" s="991"/>
      <c r="O134" s="125"/>
      <c r="P134" s="121"/>
    </row>
    <row r="135" spans="10:16" ht="14.5" x14ac:dyDescent="0.35">
      <c r="J135" s="993"/>
      <c r="K135" s="991"/>
      <c r="O135" s="125"/>
      <c r="P135" s="121"/>
    </row>
    <row r="136" spans="10:16" ht="14.5" x14ac:dyDescent="0.35">
      <c r="J136" s="993"/>
      <c r="K136" s="991"/>
      <c r="O136" s="125"/>
      <c r="P136" s="121"/>
    </row>
    <row r="137" spans="10:16" ht="14.5" x14ac:dyDescent="0.35">
      <c r="J137" s="993"/>
      <c r="K137" s="991"/>
      <c r="O137" s="125"/>
      <c r="P137" s="121"/>
    </row>
    <row r="138" spans="10:16" ht="14.5" x14ac:dyDescent="0.35">
      <c r="J138" s="993"/>
      <c r="K138" s="991"/>
      <c r="O138" s="125"/>
      <c r="P138" s="121"/>
    </row>
    <row r="139" spans="10:16" ht="14.5" x14ac:dyDescent="0.35">
      <c r="J139" s="993"/>
      <c r="K139" s="991"/>
      <c r="O139" s="125"/>
      <c r="P139" s="121"/>
    </row>
    <row r="140" spans="10:16" ht="14.5" x14ac:dyDescent="0.35">
      <c r="J140" s="993"/>
      <c r="K140" s="991"/>
      <c r="O140" s="125"/>
      <c r="P140" s="121"/>
    </row>
    <row r="141" spans="10:16" ht="14.5" x14ac:dyDescent="0.35">
      <c r="J141" s="993"/>
      <c r="K141" s="991"/>
      <c r="O141" s="125"/>
      <c r="P141" s="121"/>
    </row>
    <row r="142" spans="10:16" ht="14.5" x14ac:dyDescent="0.35">
      <c r="J142" s="993"/>
      <c r="K142" s="991"/>
      <c r="O142" s="125"/>
      <c r="P142" s="121"/>
    </row>
    <row r="143" spans="10:16" ht="14.5" x14ac:dyDescent="0.35">
      <c r="J143" s="993"/>
      <c r="K143" s="991"/>
      <c r="O143" s="125"/>
      <c r="P143" s="121"/>
    </row>
    <row r="144" spans="10:16" ht="14.5" x14ac:dyDescent="0.35">
      <c r="J144" s="990"/>
      <c r="K144" s="991"/>
      <c r="O144" s="124"/>
      <c r="P144" s="121"/>
    </row>
    <row r="145" spans="10:16" ht="14.5" x14ac:dyDescent="0.35">
      <c r="J145" s="990"/>
      <c r="K145" s="991"/>
      <c r="O145" s="124"/>
      <c r="P145" s="121"/>
    </row>
    <row r="146" spans="10:16" ht="14.5" x14ac:dyDescent="0.35">
      <c r="J146" s="990"/>
      <c r="K146" s="991"/>
      <c r="O146" s="124"/>
      <c r="P146" s="121"/>
    </row>
    <row r="147" spans="10:16" ht="14.5" x14ac:dyDescent="0.35">
      <c r="J147" s="990"/>
      <c r="K147" s="991"/>
      <c r="O147" s="124"/>
      <c r="P147" s="121"/>
    </row>
    <row r="148" spans="10:16" ht="14.5" x14ac:dyDescent="0.35">
      <c r="J148" s="993"/>
      <c r="K148" s="991"/>
      <c r="O148" s="125"/>
      <c r="P148" s="121"/>
    </row>
    <row r="149" spans="10:16" x14ac:dyDescent="0.2">
      <c r="J149" s="965"/>
      <c r="O149" s="126"/>
    </row>
    <row r="161" spans="2:3" x14ac:dyDescent="0.2">
      <c r="B161" s="27"/>
      <c r="C161" s="957"/>
    </row>
    <row r="162" spans="2:3" x14ac:dyDescent="0.2">
      <c r="B162" s="27"/>
      <c r="C162" s="957"/>
    </row>
    <row r="163" spans="2:3" x14ac:dyDescent="0.2">
      <c r="B163" s="27"/>
      <c r="C163" s="957"/>
    </row>
    <row r="164" spans="2:3" x14ac:dyDescent="0.2">
      <c r="B164" s="27"/>
      <c r="C164" s="957"/>
    </row>
    <row r="165" spans="2:3" x14ac:dyDescent="0.2">
      <c r="B165" s="27"/>
      <c r="C165" s="957"/>
    </row>
    <row r="166" spans="2:3" x14ac:dyDescent="0.2">
      <c r="B166" s="27"/>
      <c r="C166" s="957"/>
    </row>
    <row r="167" spans="2:3" x14ac:dyDescent="0.2">
      <c r="B167" s="27"/>
      <c r="C167" s="957"/>
    </row>
    <row r="168" spans="2:3" x14ac:dyDescent="0.2">
      <c r="B168" s="27"/>
      <c r="C168" s="957"/>
    </row>
    <row r="169" spans="2:3" x14ac:dyDescent="0.2">
      <c r="B169" s="27"/>
      <c r="C169" s="957"/>
    </row>
    <row r="170" spans="2:3" x14ac:dyDescent="0.2">
      <c r="B170" s="27"/>
      <c r="C170" s="957"/>
    </row>
    <row r="171" spans="2:3" x14ac:dyDescent="0.2">
      <c r="B171" s="27"/>
      <c r="C171" s="957"/>
    </row>
    <row r="172" spans="2:3" x14ac:dyDescent="0.2">
      <c r="B172" s="27"/>
      <c r="C172" s="957"/>
    </row>
    <row r="173" spans="2:3" x14ac:dyDescent="0.2">
      <c r="B173" s="27"/>
      <c r="C173" s="957"/>
    </row>
    <row r="174" spans="2:3" x14ac:dyDescent="0.2">
      <c r="B174" s="27"/>
      <c r="C174" s="957"/>
    </row>
    <row r="175" spans="2:3" x14ac:dyDescent="0.2">
      <c r="B175" s="27"/>
      <c r="C175" s="957"/>
    </row>
    <row r="176" spans="2:3" x14ac:dyDescent="0.2">
      <c r="B176" s="27"/>
      <c r="C176" s="957"/>
    </row>
    <row r="177" spans="2:3" x14ac:dyDescent="0.2">
      <c r="B177" s="27"/>
      <c r="C177" s="957"/>
    </row>
  </sheetData>
  <customSheetViews>
    <customSheetView guid="{B5EA72E7-EF27-46AE-B0E4-CAECE2734832}" scale="80" fitToPage="1">
      <pageMargins left="0.7" right="0.7" top="0.75" bottom="0.75" header="0.3" footer="0.3"/>
      <pageSetup paperSize="9" scale="36" fitToHeight="0" orientation="landscape" r:id="rId1"/>
    </customSheetView>
    <customSheetView guid="{D7C60D54-F168-4802-9C20-D9E241B3AC75}">
      <pageMargins left="0.7" right="0.7" top="0.75" bottom="0.75" header="0.3" footer="0.3"/>
      <pageSetup paperSize="9" orientation="portrait" r:id="rId2"/>
    </customSheetView>
    <customSheetView guid="{D4A8130B-E15E-430B-BC62-FA365B34E0AF}">
      <selection activeCell="F9" sqref="F9"/>
      <pageMargins left="0.7" right="0.7" top="0.75" bottom="0.75" header="0.3" footer="0.3"/>
    </customSheetView>
    <customSheetView guid="{EF36F323-8F00-4DED-B12A-4D51E72FA301}" scale="80" fitToPage="1">
      <pageMargins left="0.7" right="0.7" top="0.75" bottom="0.75" header="0.3" footer="0.3"/>
      <pageSetup paperSize="9" scale="36" fitToHeight="0" orientation="landscape" r:id="rId3"/>
    </customSheetView>
    <customSheetView guid="{A4014A12-8077-400D-909C-C8C0AE2652D2}">
      <selection activeCell="A2" sqref="A2"/>
      <pageMargins left="0.7" right="0.7" top="0.75" bottom="0.75" header="0.3" footer="0.3"/>
    </customSheetView>
    <customSheetView guid="{254CA843-A8D1-434E-AB9C-F327B1D1E748}" scale="80" showPageBreaks="1" fitToPage="1">
      <pageMargins left="0.7" right="0.7" top="0.75" bottom="0.75" header="0.3" footer="0.3"/>
      <pageSetup paperSize="9" scale="36" fitToHeight="0" orientation="landscape" r:id="rId4"/>
    </customSheetView>
  </customSheetViews>
  <mergeCells count="19">
    <mergeCell ref="N5:P5"/>
    <mergeCell ref="R5:T5"/>
    <mergeCell ref="A83:D83"/>
    <mergeCell ref="A82:E82"/>
    <mergeCell ref="I5:K5"/>
    <mergeCell ref="A79:G79"/>
    <mergeCell ref="A81:G81"/>
    <mergeCell ref="A102:G102"/>
    <mergeCell ref="A89:G89"/>
    <mergeCell ref="A94:G94"/>
    <mergeCell ref="A85:G85"/>
    <mergeCell ref="A86:G86"/>
    <mergeCell ref="A87:G87"/>
    <mergeCell ref="A88:G88"/>
    <mergeCell ref="A93:G93"/>
    <mergeCell ref="A95:G95"/>
    <mergeCell ref="A91:G91"/>
    <mergeCell ref="A90:G90"/>
    <mergeCell ref="A92:G92"/>
  </mergeCells>
  <phoneticPr fontId="5" type="noConversion"/>
  <pageMargins left="0.7" right="0.7" top="0.75" bottom="0.75" header="0.3" footer="0.3"/>
  <pageSetup paperSize="9" scale="74" fitToHeight="0" orientation="landscape" r:id="rId5"/>
  <headerFooter>
    <oddFooter>&amp;C&amp;1#&amp;"Calibri"&amp;12&amp;K008000C1 Données Internes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50CB-0A06-4FA5-BEC1-8BA2A7DF620E}">
  <dimension ref="A1:M60"/>
  <sheetViews>
    <sheetView workbookViewId="0"/>
  </sheetViews>
  <sheetFormatPr baseColWidth="10" defaultRowHeight="12.5" x14ac:dyDescent="0.25"/>
  <cols>
    <col min="2" max="2" width="121.90625" bestFit="1" customWidth="1"/>
    <col min="3" max="3" width="7.54296875" bestFit="1" customWidth="1"/>
    <col min="6" max="6" width="5.54296875" customWidth="1"/>
    <col min="7" max="7" width="15.453125" bestFit="1" customWidth="1"/>
    <col min="8" max="8" width="26.90625" bestFit="1" customWidth="1"/>
    <col min="9" max="9" width="4.453125" bestFit="1" customWidth="1"/>
    <col min="11" max="11" width="26.90625" bestFit="1" customWidth="1"/>
    <col min="12" max="12" width="29.90625" bestFit="1" customWidth="1"/>
    <col min="13" max="13" width="15.453125" bestFit="1" customWidth="1"/>
  </cols>
  <sheetData>
    <row r="1" spans="1:13" ht="13.25" x14ac:dyDescent="0.25">
      <c r="C1" t="s">
        <v>879</v>
      </c>
    </row>
    <row r="2" spans="1:13" ht="13.25" x14ac:dyDescent="0.25">
      <c r="B2" s="254" t="s">
        <v>872</v>
      </c>
      <c r="C2" s="543">
        <v>10808</v>
      </c>
      <c r="D2" s="54">
        <f>C2/SUM(C$2:C$6)</f>
        <v>0.45140542120870403</v>
      </c>
    </row>
    <row r="3" spans="1:13" ht="13.25" x14ac:dyDescent="0.25">
      <c r="B3" s="254" t="s">
        <v>876</v>
      </c>
      <c r="C3" s="543">
        <v>5584</v>
      </c>
      <c r="D3" s="54">
        <f t="shared" ref="D3:D6" si="0">C3/SUM(C$2:C$6)</f>
        <v>0.23322056550975234</v>
      </c>
    </row>
    <row r="4" spans="1:13" ht="13.25" x14ac:dyDescent="0.25">
      <c r="B4" s="254" t="s">
        <v>873</v>
      </c>
      <c r="C4" s="543">
        <v>4075</v>
      </c>
      <c r="D4" s="54">
        <f t="shared" si="0"/>
        <v>0.17019588188614626</v>
      </c>
    </row>
    <row r="5" spans="1:13" ht="13.25" x14ac:dyDescent="0.25">
      <c r="B5" s="59" t="s">
        <v>92</v>
      </c>
      <c r="C5" s="543">
        <v>3344</v>
      </c>
      <c r="D5" s="54">
        <f t="shared" si="0"/>
        <v>0.13966503779810382</v>
      </c>
    </row>
    <row r="6" spans="1:13" ht="13.25" x14ac:dyDescent="0.25">
      <c r="B6" s="59" t="s">
        <v>110</v>
      </c>
      <c r="C6" s="605">
        <v>132</v>
      </c>
      <c r="D6" s="54">
        <f t="shared" si="0"/>
        <v>5.5130935972935724E-3</v>
      </c>
    </row>
    <row r="7" spans="1:13" ht="13.25" x14ac:dyDescent="0.25">
      <c r="B7" s="411"/>
      <c r="C7" s="414"/>
    </row>
    <row r="8" spans="1:13" ht="13.25" x14ac:dyDescent="0.25">
      <c r="A8" t="s">
        <v>877</v>
      </c>
      <c r="B8" s="72" t="s">
        <v>878</v>
      </c>
      <c r="C8" s="546" t="s">
        <v>879</v>
      </c>
      <c r="H8" t="s">
        <v>898</v>
      </c>
      <c r="I8" t="s">
        <v>899</v>
      </c>
      <c r="K8" s="672" t="s">
        <v>896</v>
      </c>
      <c r="L8" t="s">
        <v>901</v>
      </c>
      <c r="M8" t="s">
        <v>900</v>
      </c>
    </row>
    <row r="9" spans="1:13" ht="13.25" x14ac:dyDescent="0.25">
      <c r="A9" s="623">
        <v>361</v>
      </c>
      <c r="B9" s="670" t="s">
        <v>540</v>
      </c>
      <c r="C9" s="542">
        <v>2715</v>
      </c>
      <c r="D9" s="617">
        <f>C9/(SUM(C$9:C$60))</f>
        <v>0.11339431148978825</v>
      </c>
      <c r="E9" s="618">
        <f>D9+E8</f>
        <v>0.11339431148978825</v>
      </c>
      <c r="F9">
        <v>1</v>
      </c>
      <c r="G9" t="s">
        <v>880</v>
      </c>
      <c r="H9" t="s">
        <v>887</v>
      </c>
      <c r="I9" s="542">
        <v>2715</v>
      </c>
      <c r="K9" s="673" t="s">
        <v>895</v>
      </c>
      <c r="L9" s="674">
        <v>1</v>
      </c>
      <c r="M9" s="93">
        <v>498</v>
      </c>
    </row>
    <row r="10" spans="1:13" ht="13.25" x14ac:dyDescent="0.25">
      <c r="A10" s="625">
        <v>334</v>
      </c>
      <c r="B10" s="626" t="s">
        <v>692</v>
      </c>
      <c r="C10" s="509">
        <v>2215</v>
      </c>
      <c r="D10" s="619">
        <f t="shared" ref="D10:D60" si="1">C10/(SUM(C$9:C$60))</f>
        <v>9.2511381197009565E-2</v>
      </c>
      <c r="E10" s="620">
        <f t="shared" ref="E10:E60" si="2">D10+E9</f>
        <v>0.20590569268679781</v>
      </c>
      <c r="F10">
        <v>2</v>
      </c>
      <c r="H10" t="s">
        <v>888</v>
      </c>
      <c r="I10" s="509">
        <v>2215</v>
      </c>
      <c r="K10" s="673" t="s">
        <v>889</v>
      </c>
      <c r="L10" s="674">
        <v>5</v>
      </c>
      <c r="M10" s="93">
        <v>2889</v>
      </c>
    </row>
    <row r="11" spans="1:13" ht="13.25" x14ac:dyDescent="0.25">
      <c r="A11" s="625">
        <v>175</v>
      </c>
      <c r="B11" s="626" t="s">
        <v>705</v>
      </c>
      <c r="C11" s="509">
        <v>2050</v>
      </c>
      <c r="D11" s="619">
        <f t="shared" si="1"/>
        <v>8.56200142003926E-2</v>
      </c>
      <c r="E11" s="620">
        <f t="shared" si="2"/>
        <v>0.29152570688719043</v>
      </c>
      <c r="F11">
        <v>3</v>
      </c>
      <c r="H11" t="s">
        <v>894</v>
      </c>
      <c r="I11" s="509">
        <v>2050</v>
      </c>
      <c r="K11" s="673" t="s">
        <v>894</v>
      </c>
      <c r="L11" s="674">
        <v>7</v>
      </c>
      <c r="M11" s="93">
        <v>3008</v>
      </c>
    </row>
    <row r="12" spans="1:13" ht="13" x14ac:dyDescent="0.3">
      <c r="A12" s="627">
        <v>175</v>
      </c>
      <c r="B12" s="628" t="s">
        <v>73</v>
      </c>
      <c r="C12" s="613">
        <v>2017</v>
      </c>
      <c r="D12" s="621">
        <f t="shared" si="1"/>
        <v>8.4241740801069206E-2</v>
      </c>
      <c r="E12" s="622">
        <f t="shared" si="2"/>
        <v>0.37576744768825965</v>
      </c>
      <c r="F12" s="184">
        <v>4</v>
      </c>
      <c r="H12" t="s">
        <v>884</v>
      </c>
      <c r="I12" s="613">
        <v>2017</v>
      </c>
      <c r="K12" s="673" t="s">
        <v>888</v>
      </c>
      <c r="L12" s="674">
        <v>2</v>
      </c>
      <c r="M12" s="93">
        <v>2482</v>
      </c>
    </row>
    <row r="13" spans="1:13" ht="13.25" x14ac:dyDescent="0.25">
      <c r="A13" s="623">
        <v>131</v>
      </c>
      <c r="B13" s="624" t="s">
        <v>84</v>
      </c>
      <c r="C13" s="542">
        <v>1546</v>
      </c>
      <c r="D13" s="617">
        <f t="shared" si="1"/>
        <v>6.4570020465271688E-2</v>
      </c>
      <c r="E13" s="618">
        <f t="shared" si="2"/>
        <v>0.44033746815353136</v>
      </c>
      <c r="F13">
        <v>5</v>
      </c>
      <c r="H13" t="s">
        <v>885</v>
      </c>
      <c r="I13" s="542">
        <v>1546</v>
      </c>
      <c r="K13" s="673" t="s">
        <v>886</v>
      </c>
      <c r="L13" s="674">
        <v>2</v>
      </c>
      <c r="M13" s="93">
        <v>1188</v>
      </c>
    </row>
    <row r="14" spans="1:13" ht="13" x14ac:dyDescent="0.3">
      <c r="A14" s="625">
        <v>175</v>
      </c>
      <c r="B14" s="626" t="s">
        <v>706</v>
      </c>
      <c r="C14" s="509">
        <v>1529</v>
      </c>
      <c r="D14" s="619">
        <f t="shared" si="1"/>
        <v>6.3860000835317218E-2</v>
      </c>
      <c r="E14" s="643">
        <f t="shared" si="2"/>
        <v>0.50419746898884854</v>
      </c>
      <c r="F14">
        <v>6</v>
      </c>
      <c r="H14" t="s">
        <v>893</v>
      </c>
      <c r="I14" s="509">
        <v>1529</v>
      </c>
      <c r="K14" s="673" t="s">
        <v>39</v>
      </c>
      <c r="L14" s="674">
        <v>1</v>
      </c>
      <c r="M14" s="93">
        <v>213</v>
      </c>
    </row>
    <row r="15" spans="1:13" ht="13.25" x14ac:dyDescent="0.25">
      <c r="A15" s="630">
        <v>175</v>
      </c>
      <c r="B15" s="631" t="s">
        <v>82</v>
      </c>
      <c r="C15" s="509">
        <v>1032</v>
      </c>
      <c r="D15" s="632">
        <f t="shared" si="1"/>
        <v>4.3102368124295201E-2</v>
      </c>
      <c r="E15" s="633">
        <f t="shared" si="2"/>
        <v>0.54729983711314378</v>
      </c>
      <c r="F15">
        <v>7</v>
      </c>
      <c r="H15" t="s">
        <v>886</v>
      </c>
      <c r="I15" s="509">
        <v>1032</v>
      </c>
      <c r="K15" s="673" t="s">
        <v>887</v>
      </c>
      <c r="L15" s="674">
        <v>12</v>
      </c>
      <c r="M15" s="93">
        <v>4563</v>
      </c>
    </row>
    <row r="16" spans="1:13" ht="13.25" x14ac:dyDescent="0.25">
      <c r="A16" s="630">
        <v>361</v>
      </c>
      <c r="B16" s="631" t="s">
        <v>74</v>
      </c>
      <c r="C16" s="509">
        <v>1021</v>
      </c>
      <c r="D16" s="632">
        <f t="shared" si="1"/>
        <v>4.2642943657854072E-2</v>
      </c>
      <c r="E16" s="633">
        <f t="shared" si="2"/>
        <v>0.58994278077099782</v>
      </c>
      <c r="F16">
        <v>8</v>
      </c>
      <c r="H16" t="s">
        <v>889</v>
      </c>
      <c r="I16" s="509">
        <v>1021</v>
      </c>
      <c r="K16" s="673" t="s">
        <v>893</v>
      </c>
      <c r="L16" s="674">
        <v>3</v>
      </c>
      <c r="M16" s="93">
        <v>1584</v>
      </c>
    </row>
    <row r="17" spans="1:13" ht="13.25" x14ac:dyDescent="0.25">
      <c r="A17" s="630">
        <v>175</v>
      </c>
      <c r="B17" s="634" t="s">
        <v>870</v>
      </c>
      <c r="C17" s="509">
        <v>1015</v>
      </c>
      <c r="D17" s="632">
        <f t="shared" si="1"/>
        <v>4.2392348494340724E-2</v>
      </c>
      <c r="E17" s="633">
        <f t="shared" si="2"/>
        <v>0.63233512926533852</v>
      </c>
      <c r="F17">
        <v>9</v>
      </c>
      <c r="H17" t="s">
        <v>889</v>
      </c>
      <c r="I17" s="509">
        <v>1015</v>
      </c>
      <c r="K17" s="673" t="s">
        <v>884</v>
      </c>
      <c r="L17" s="674">
        <v>10</v>
      </c>
      <c r="M17" s="93">
        <v>4867</v>
      </c>
    </row>
    <row r="18" spans="1:13" ht="13.25" x14ac:dyDescent="0.25">
      <c r="A18" s="635">
        <v>175</v>
      </c>
      <c r="B18" s="636" t="s">
        <v>698</v>
      </c>
      <c r="C18" s="613">
        <v>1007</v>
      </c>
      <c r="D18" s="637">
        <f t="shared" si="1"/>
        <v>4.205822160965627E-2</v>
      </c>
      <c r="E18" s="638">
        <f t="shared" si="2"/>
        <v>0.67439335087499475</v>
      </c>
      <c r="F18">
        <v>10</v>
      </c>
      <c r="H18" t="s">
        <v>884</v>
      </c>
      <c r="I18" s="613">
        <v>1007</v>
      </c>
      <c r="K18" s="673" t="s">
        <v>891</v>
      </c>
      <c r="L18" s="674">
        <v>1</v>
      </c>
      <c r="M18" s="93">
        <v>104</v>
      </c>
    </row>
    <row r="19" spans="1:13" ht="13.25" x14ac:dyDescent="0.25">
      <c r="A19" s="639">
        <v>175</v>
      </c>
      <c r="B19" s="640" t="s">
        <v>83</v>
      </c>
      <c r="C19" s="542">
        <v>701</v>
      </c>
      <c r="D19" s="641">
        <f t="shared" si="1"/>
        <v>2.9277868270475713E-2</v>
      </c>
      <c r="E19" s="642">
        <f t="shared" si="2"/>
        <v>0.70367121914547048</v>
      </c>
      <c r="F19">
        <v>11</v>
      </c>
      <c r="H19" t="s">
        <v>884</v>
      </c>
      <c r="I19" s="542">
        <v>701</v>
      </c>
      <c r="K19" s="673" t="s">
        <v>885</v>
      </c>
      <c r="L19" s="674">
        <v>2</v>
      </c>
      <c r="M19" s="93">
        <v>1640</v>
      </c>
    </row>
    <row r="20" spans="1:13" ht="13" x14ac:dyDescent="0.3">
      <c r="A20" s="635">
        <v>131</v>
      </c>
      <c r="B20" s="636" t="s">
        <v>874</v>
      </c>
      <c r="C20" s="613">
        <v>591</v>
      </c>
      <c r="D20" s="637">
        <f t="shared" si="1"/>
        <v>2.4683623606064402E-2</v>
      </c>
      <c r="E20" s="638">
        <f t="shared" si="2"/>
        <v>0.72835484275153484</v>
      </c>
      <c r="F20" s="184">
        <v>12</v>
      </c>
      <c r="H20" t="s">
        <v>889</v>
      </c>
      <c r="I20" s="613">
        <v>591</v>
      </c>
      <c r="K20" s="673" t="s">
        <v>892</v>
      </c>
      <c r="L20" s="674">
        <v>1</v>
      </c>
      <c r="M20" s="93">
        <v>46</v>
      </c>
    </row>
    <row r="21" spans="1:13" ht="13" x14ac:dyDescent="0.3">
      <c r="A21" s="639">
        <v>131</v>
      </c>
      <c r="B21" s="640" t="s">
        <v>75</v>
      </c>
      <c r="C21" s="542">
        <v>498</v>
      </c>
      <c r="D21" s="641">
        <f t="shared" si="1"/>
        <v>2.0799398571607567E-2</v>
      </c>
      <c r="E21" s="644">
        <f t="shared" si="2"/>
        <v>0.74915424132314246</v>
      </c>
      <c r="F21">
        <v>13</v>
      </c>
      <c r="H21" t="s">
        <v>895</v>
      </c>
      <c r="I21" s="542">
        <v>498</v>
      </c>
      <c r="K21" s="673" t="s">
        <v>890</v>
      </c>
      <c r="L21" s="674">
        <v>5</v>
      </c>
      <c r="M21" s="93">
        <v>861</v>
      </c>
    </row>
    <row r="22" spans="1:13" ht="13.25" x14ac:dyDescent="0.25">
      <c r="A22" s="645">
        <v>334</v>
      </c>
      <c r="B22" s="646" t="s">
        <v>768</v>
      </c>
      <c r="C22" s="509">
        <v>450</v>
      </c>
      <c r="D22" s="647">
        <f t="shared" si="1"/>
        <v>1.8794637263500814E-2</v>
      </c>
      <c r="E22" s="648">
        <f t="shared" si="2"/>
        <v>0.76794887858664329</v>
      </c>
      <c r="F22">
        <v>14</v>
      </c>
      <c r="H22" t="s">
        <v>894</v>
      </c>
      <c r="I22" s="509">
        <v>450</v>
      </c>
      <c r="K22" s="673" t="s">
        <v>897</v>
      </c>
      <c r="L22" s="674">
        <v>52</v>
      </c>
      <c r="M22" s="93">
        <v>23943</v>
      </c>
    </row>
    <row r="23" spans="1:13" ht="13.25" x14ac:dyDescent="0.25">
      <c r="A23" s="649">
        <v>361</v>
      </c>
      <c r="B23" s="650" t="s">
        <v>76</v>
      </c>
      <c r="C23" s="613">
        <v>442</v>
      </c>
      <c r="D23" s="651">
        <f t="shared" si="1"/>
        <v>1.8460510378816356E-2</v>
      </c>
      <c r="E23" s="652">
        <f t="shared" si="2"/>
        <v>0.78640938896545964</v>
      </c>
      <c r="F23">
        <v>15</v>
      </c>
      <c r="H23" t="s">
        <v>887</v>
      </c>
      <c r="I23" s="613">
        <v>442</v>
      </c>
    </row>
    <row r="24" spans="1:13" ht="13" x14ac:dyDescent="0.3">
      <c r="A24" s="653">
        <v>131</v>
      </c>
      <c r="B24" s="654" t="s">
        <v>85</v>
      </c>
      <c r="C24" s="542">
        <v>399</v>
      </c>
      <c r="D24" s="655">
        <f t="shared" si="1"/>
        <v>1.6664578373637388E-2</v>
      </c>
      <c r="E24" s="656">
        <f t="shared" si="2"/>
        <v>0.80307396733909708</v>
      </c>
      <c r="F24" s="184">
        <v>16</v>
      </c>
      <c r="H24" t="s">
        <v>890</v>
      </c>
      <c r="I24" s="542">
        <v>399</v>
      </c>
      <c r="K24" s="677" t="s">
        <v>898</v>
      </c>
      <c r="L24" s="677" t="s">
        <v>902</v>
      </c>
      <c r="M24" s="677" t="s">
        <v>900</v>
      </c>
    </row>
    <row r="25" spans="1:13" ht="13.25" x14ac:dyDescent="0.25">
      <c r="A25" s="657">
        <v>361</v>
      </c>
      <c r="B25" s="669" t="s">
        <v>882</v>
      </c>
      <c r="C25" s="613">
        <v>369</v>
      </c>
      <c r="D25" s="659">
        <f t="shared" si="1"/>
        <v>1.5411602556070669E-2</v>
      </c>
      <c r="E25" s="660">
        <f t="shared" si="2"/>
        <v>0.81848556989516774</v>
      </c>
      <c r="F25">
        <v>17</v>
      </c>
      <c r="G25" t="s">
        <v>881</v>
      </c>
      <c r="H25" t="s">
        <v>887</v>
      </c>
      <c r="I25" s="613">
        <v>369</v>
      </c>
      <c r="K25" t="s">
        <v>887</v>
      </c>
      <c r="L25">
        <v>12</v>
      </c>
      <c r="M25" s="93">
        <v>4563</v>
      </c>
    </row>
    <row r="26" spans="1:13" ht="13.25" x14ac:dyDescent="0.25">
      <c r="A26" s="661">
        <v>334</v>
      </c>
      <c r="B26" s="662" t="s">
        <v>104</v>
      </c>
      <c r="C26" s="542">
        <v>267</v>
      </c>
      <c r="D26" s="663">
        <f t="shared" si="1"/>
        <v>1.1151484776343817E-2</v>
      </c>
      <c r="E26" s="664">
        <f t="shared" si="2"/>
        <v>0.82963705467151161</v>
      </c>
      <c r="F26">
        <v>18</v>
      </c>
      <c r="H26" t="s">
        <v>888</v>
      </c>
      <c r="I26" s="542">
        <v>267</v>
      </c>
      <c r="K26" t="s">
        <v>884</v>
      </c>
      <c r="L26">
        <v>10</v>
      </c>
      <c r="M26" s="93">
        <v>4867</v>
      </c>
    </row>
    <row r="27" spans="1:13" ht="13.25" x14ac:dyDescent="0.25">
      <c r="A27" s="665">
        <v>175</v>
      </c>
      <c r="B27" s="666" t="s">
        <v>97</v>
      </c>
      <c r="C27" s="509">
        <v>263</v>
      </c>
      <c r="D27" s="667">
        <f t="shared" si="1"/>
        <v>1.0984421334001588E-2</v>
      </c>
      <c r="E27" s="668">
        <f t="shared" si="2"/>
        <v>0.84062147600551318</v>
      </c>
      <c r="F27">
        <v>19</v>
      </c>
      <c r="H27" t="s">
        <v>884</v>
      </c>
      <c r="I27" s="509">
        <v>263</v>
      </c>
      <c r="K27" t="s">
        <v>894</v>
      </c>
      <c r="L27">
        <v>7</v>
      </c>
      <c r="M27" s="93">
        <v>3008</v>
      </c>
    </row>
    <row r="28" spans="1:13" ht="13.25" x14ac:dyDescent="0.25">
      <c r="A28" s="665">
        <v>175</v>
      </c>
      <c r="B28" s="666" t="s">
        <v>871</v>
      </c>
      <c r="C28" s="509">
        <v>247</v>
      </c>
      <c r="D28" s="667">
        <f t="shared" si="1"/>
        <v>1.031616756463267E-2</v>
      </c>
      <c r="E28" s="668">
        <f t="shared" si="2"/>
        <v>0.8509376435701459</v>
      </c>
      <c r="F28">
        <v>20</v>
      </c>
      <c r="H28" t="s">
        <v>884</v>
      </c>
      <c r="I28" s="509">
        <v>247</v>
      </c>
      <c r="K28" t="s">
        <v>889</v>
      </c>
      <c r="L28">
        <v>5</v>
      </c>
      <c r="M28" s="93">
        <v>2889</v>
      </c>
    </row>
    <row r="29" spans="1:13" ht="13.25" x14ac:dyDescent="0.25">
      <c r="A29" s="665">
        <v>361</v>
      </c>
      <c r="B29" s="666" t="s">
        <v>695</v>
      </c>
      <c r="C29" s="509">
        <v>217</v>
      </c>
      <c r="D29" s="667">
        <f t="shared" si="1"/>
        <v>9.063191747065949E-3</v>
      </c>
      <c r="E29" s="668">
        <f t="shared" si="2"/>
        <v>0.86000083531721183</v>
      </c>
      <c r="F29">
        <v>21</v>
      </c>
      <c r="H29" t="s">
        <v>887</v>
      </c>
      <c r="I29" s="509">
        <v>217</v>
      </c>
      <c r="K29" t="s">
        <v>890</v>
      </c>
      <c r="L29">
        <v>5</v>
      </c>
      <c r="M29" s="93">
        <v>861</v>
      </c>
    </row>
    <row r="30" spans="1:13" ht="13.25" x14ac:dyDescent="0.25">
      <c r="A30" s="665">
        <v>131</v>
      </c>
      <c r="B30" s="666" t="s">
        <v>87</v>
      </c>
      <c r="C30" s="509">
        <v>215</v>
      </c>
      <c r="D30" s="667">
        <f t="shared" si="1"/>
        <v>8.9796600258948336E-3</v>
      </c>
      <c r="E30" s="668">
        <f t="shared" si="2"/>
        <v>0.86898049534310662</v>
      </c>
      <c r="F30">
        <v>22</v>
      </c>
      <c r="H30" t="s">
        <v>889</v>
      </c>
      <c r="I30" s="509">
        <v>215</v>
      </c>
      <c r="K30" t="s">
        <v>893</v>
      </c>
      <c r="L30">
        <v>3</v>
      </c>
      <c r="M30" s="93">
        <v>1584</v>
      </c>
    </row>
    <row r="31" spans="1:13" ht="13.25" x14ac:dyDescent="0.25">
      <c r="A31" s="665">
        <v>334</v>
      </c>
      <c r="B31" s="666" t="s">
        <v>769</v>
      </c>
      <c r="C31" s="509">
        <v>213</v>
      </c>
      <c r="D31" s="667">
        <f t="shared" si="1"/>
        <v>8.8961283047237182E-3</v>
      </c>
      <c r="E31" s="668">
        <f t="shared" si="2"/>
        <v>0.87787662364783037</v>
      </c>
      <c r="F31">
        <v>23</v>
      </c>
      <c r="H31" t="s">
        <v>39</v>
      </c>
      <c r="I31" s="509">
        <v>213</v>
      </c>
      <c r="K31" t="s">
        <v>888</v>
      </c>
      <c r="L31">
        <v>2</v>
      </c>
      <c r="M31" s="93">
        <v>2482</v>
      </c>
    </row>
    <row r="32" spans="1:13" ht="13.25" x14ac:dyDescent="0.25">
      <c r="A32" s="665">
        <v>361</v>
      </c>
      <c r="B32" s="666" t="s">
        <v>696</v>
      </c>
      <c r="C32" s="509">
        <v>209</v>
      </c>
      <c r="D32" s="667">
        <f t="shared" si="1"/>
        <v>8.7290648623814891E-3</v>
      </c>
      <c r="E32" s="668">
        <f t="shared" si="2"/>
        <v>0.88660568851021182</v>
      </c>
      <c r="F32">
        <v>24</v>
      </c>
      <c r="H32" t="s">
        <v>887</v>
      </c>
      <c r="I32" s="509">
        <v>209</v>
      </c>
      <c r="K32" t="s">
        <v>886</v>
      </c>
      <c r="L32">
        <v>2</v>
      </c>
      <c r="M32" s="93">
        <v>1188</v>
      </c>
    </row>
    <row r="33" spans="1:13" ht="13" x14ac:dyDescent="0.3">
      <c r="A33" s="657">
        <v>361</v>
      </c>
      <c r="B33" s="658" t="s">
        <v>77</v>
      </c>
      <c r="C33" s="613">
        <v>206</v>
      </c>
      <c r="D33" s="659">
        <f t="shared" si="1"/>
        <v>8.6037672806248168E-3</v>
      </c>
      <c r="E33" s="671">
        <f t="shared" si="2"/>
        <v>0.89520945579083666</v>
      </c>
      <c r="F33" s="184">
        <v>25</v>
      </c>
      <c r="H33" t="s">
        <v>887</v>
      </c>
      <c r="I33" s="613">
        <v>206</v>
      </c>
      <c r="K33" t="s">
        <v>885</v>
      </c>
      <c r="L33">
        <v>2</v>
      </c>
      <c r="M33" s="93">
        <v>1640</v>
      </c>
    </row>
    <row r="34" spans="1:13" ht="13.25" x14ac:dyDescent="0.25">
      <c r="A34" s="606">
        <v>175</v>
      </c>
      <c r="B34" s="607" t="s">
        <v>101</v>
      </c>
      <c r="C34" s="542">
        <v>166</v>
      </c>
      <c r="D34" s="608">
        <f t="shared" si="1"/>
        <v>6.9331328572025223E-3</v>
      </c>
      <c r="E34" s="609">
        <f t="shared" si="2"/>
        <v>0.9021425886480392</v>
      </c>
      <c r="F34">
        <v>26</v>
      </c>
      <c r="H34" t="s">
        <v>884</v>
      </c>
      <c r="I34" s="542">
        <v>166</v>
      </c>
      <c r="K34" t="s">
        <v>895</v>
      </c>
      <c r="L34">
        <v>1</v>
      </c>
      <c r="M34" s="93">
        <v>498</v>
      </c>
    </row>
    <row r="35" spans="1:13" ht="13.25" x14ac:dyDescent="0.25">
      <c r="A35" s="610">
        <v>175</v>
      </c>
      <c r="B35" s="56" t="s">
        <v>98</v>
      </c>
      <c r="C35" s="509">
        <v>156</v>
      </c>
      <c r="D35" s="169">
        <f t="shared" si="1"/>
        <v>6.5154742513469487E-3</v>
      </c>
      <c r="E35" s="611">
        <f t="shared" si="2"/>
        <v>0.90865806289938611</v>
      </c>
      <c r="F35">
        <v>27</v>
      </c>
      <c r="H35" t="s">
        <v>886</v>
      </c>
      <c r="I35" s="509">
        <v>156</v>
      </c>
      <c r="K35" t="s">
        <v>39</v>
      </c>
      <c r="L35">
        <v>1</v>
      </c>
      <c r="M35" s="93">
        <v>213</v>
      </c>
    </row>
    <row r="36" spans="1:13" ht="13.25" x14ac:dyDescent="0.25">
      <c r="A36" s="610">
        <v>175</v>
      </c>
      <c r="B36" s="56" t="s">
        <v>699</v>
      </c>
      <c r="C36" s="509">
        <v>142</v>
      </c>
      <c r="D36" s="169">
        <f t="shared" si="1"/>
        <v>5.930752203149146E-3</v>
      </c>
      <c r="E36" s="611">
        <f t="shared" si="2"/>
        <v>0.9145888151025352</v>
      </c>
      <c r="F36">
        <v>28</v>
      </c>
      <c r="H36" t="s">
        <v>884</v>
      </c>
      <c r="I36" s="509">
        <v>142</v>
      </c>
      <c r="K36" t="s">
        <v>891</v>
      </c>
      <c r="L36">
        <v>1</v>
      </c>
      <c r="M36" s="93">
        <v>104</v>
      </c>
    </row>
    <row r="37" spans="1:13" ht="13.25" x14ac:dyDescent="0.25">
      <c r="A37" s="610">
        <v>175</v>
      </c>
      <c r="B37" s="56" t="s">
        <v>697</v>
      </c>
      <c r="C37" s="509">
        <v>142</v>
      </c>
      <c r="D37" s="169">
        <f t="shared" si="1"/>
        <v>5.930752203149146E-3</v>
      </c>
      <c r="E37" s="611">
        <f t="shared" si="2"/>
        <v>0.92051956730568429</v>
      </c>
      <c r="F37">
        <v>29</v>
      </c>
      <c r="H37" t="s">
        <v>884</v>
      </c>
      <c r="I37" s="509">
        <v>142</v>
      </c>
      <c r="K37" t="s">
        <v>892</v>
      </c>
      <c r="L37">
        <v>1</v>
      </c>
      <c r="M37" s="93">
        <v>46</v>
      </c>
    </row>
    <row r="38" spans="1:13" ht="13" x14ac:dyDescent="0.3">
      <c r="A38" s="610">
        <v>175</v>
      </c>
      <c r="B38" s="56" t="s">
        <v>102</v>
      </c>
      <c r="C38" s="509">
        <v>142</v>
      </c>
      <c r="D38" s="169">
        <f t="shared" si="1"/>
        <v>5.930752203149146E-3</v>
      </c>
      <c r="E38" s="611">
        <f t="shared" si="2"/>
        <v>0.92645031950883339</v>
      </c>
      <c r="F38">
        <v>30</v>
      </c>
      <c r="H38" t="s">
        <v>884</v>
      </c>
      <c r="I38" s="509">
        <v>142</v>
      </c>
      <c r="K38" s="675" t="s">
        <v>897</v>
      </c>
      <c r="L38" s="675">
        <v>52</v>
      </c>
      <c r="M38" s="676">
        <v>23943</v>
      </c>
    </row>
    <row r="39" spans="1:13" ht="13.25" x14ac:dyDescent="0.25">
      <c r="A39" s="610">
        <v>131</v>
      </c>
      <c r="B39" s="60" t="s">
        <v>123</v>
      </c>
      <c r="C39" s="509">
        <v>137</v>
      </c>
      <c r="D39" s="169">
        <f t="shared" si="1"/>
        <v>5.7219229002213592E-3</v>
      </c>
      <c r="E39" s="611">
        <f t="shared" si="2"/>
        <v>0.93217224240905472</v>
      </c>
      <c r="F39">
        <v>31</v>
      </c>
      <c r="H39" t="s">
        <v>890</v>
      </c>
      <c r="I39" s="509">
        <v>137</v>
      </c>
    </row>
    <row r="40" spans="1:13" ht="13.25" x14ac:dyDescent="0.25">
      <c r="A40" s="610">
        <v>224</v>
      </c>
      <c r="B40" s="56" t="s">
        <v>773</v>
      </c>
      <c r="C40" s="510">
        <v>132</v>
      </c>
      <c r="D40" s="169">
        <f t="shared" si="1"/>
        <v>5.5130935972935724E-3</v>
      </c>
      <c r="E40" s="611">
        <f t="shared" si="2"/>
        <v>0.93768533600634829</v>
      </c>
      <c r="F40">
        <v>32</v>
      </c>
      <c r="H40" t="s">
        <v>894</v>
      </c>
      <c r="I40" s="510">
        <v>132</v>
      </c>
    </row>
    <row r="41" spans="1:13" ht="13.25" x14ac:dyDescent="0.25">
      <c r="A41" s="610">
        <v>131</v>
      </c>
      <c r="B41" s="60" t="s">
        <v>90</v>
      </c>
      <c r="C41" s="509">
        <v>131</v>
      </c>
      <c r="D41" s="169">
        <f t="shared" si="1"/>
        <v>5.4713277367080147E-3</v>
      </c>
      <c r="E41" s="611">
        <f t="shared" si="2"/>
        <v>0.94315666374305629</v>
      </c>
      <c r="F41">
        <v>33</v>
      </c>
      <c r="H41" t="s">
        <v>890</v>
      </c>
      <c r="I41" s="509">
        <v>131</v>
      </c>
    </row>
    <row r="42" spans="1:13" ht="13.25" x14ac:dyDescent="0.25">
      <c r="A42" s="610">
        <v>334</v>
      </c>
      <c r="B42" s="56" t="s">
        <v>105</v>
      </c>
      <c r="C42" s="509">
        <v>131</v>
      </c>
      <c r="D42" s="169">
        <f t="shared" si="1"/>
        <v>5.4713277367080147E-3</v>
      </c>
      <c r="E42" s="611">
        <f t="shared" si="2"/>
        <v>0.94862799147976429</v>
      </c>
      <c r="F42">
        <v>34</v>
      </c>
      <c r="H42" t="s">
        <v>894</v>
      </c>
      <c r="I42" s="509">
        <v>131</v>
      </c>
    </row>
    <row r="43" spans="1:13" x14ac:dyDescent="0.25">
      <c r="A43" s="612">
        <v>175</v>
      </c>
      <c r="B43" s="629" t="s">
        <v>875</v>
      </c>
      <c r="C43" s="613">
        <v>104</v>
      </c>
      <c r="D43" s="614">
        <f t="shared" si="1"/>
        <v>4.3436495008979661E-3</v>
      </c>
      <c r="E43" s="615">
        <f t="shared" si="2"/>
        <v>0.95297164098066223</v>
      </c>
      <c r="F43">
        <v>35</v>
      </c>
      <c r="H43" t="s">
        <v>891</v>
      </c>
      <c r="I43" s="613">
        <v>104</v>
      </c>
    </row>
    <row r="44" spans="1:13" x14ac:dyDescent="0.25">
      <c r="A44" s="606">
        <v>131</v>
      </c>
      <c r="B44" s="616" t="s">
        <v>91</v>
      </c>
      <c r="C44" s="542">
        <v>99</v>
      </c>
      <c r="D44" s="608">
        <f t="shared" si="1"/>
        <v>4.1348201979701793E-3</v>
      </c>
      <c r="E44" s="609">
        <f t="shared" si="2"/>
        <v>0.95710646117863241</v>
      </c>
      <c r="F44">
        <v>36</v>
      </c>
      <c r="H44" t="s">
        <v>890</v>
      </c>
      <c r="I44" s="542">
        <v>99</v>
      </c>
    </row>
    <row r="45" spans="1:13" x14ac:dyDescent="0.25">
      <c r="A45" s="610">
        <v>131</v>
      </c>
      <c r="B45" s="56" t="s">
        <v>78</v>
      </c>
      <c r="C45" s="509">
        <v>99</v>
      </c>
      <c r="D45" s="169">
        <f t="shared" si="1"/>
        <v>4.1348201979701793E-3</v>
      </c>
      <c r="E45" s="611">
        <f t="shared" si="2"/>
        <v>0.96124128137660259</v>
      </c>
      <c r="F45">
        <v>37</v>
      </c>
      <c r="H45" t="s">
        <v>894</v>
      </c>
      <c r="I45" s="509">
        <v>99</v>
      </c>
    </row>
    <row r="46" spans="1:13" x14ac:dyDescent="0.25">
      <c r="A46" s="610">
        <v>131</v>
      </c>
      <c r="B46" s="60" t="s">
        <v>89</v>
      </c>
      <c r="C46" s="509">
        <v>95</v>
      </c>
      <c r="D46" s="169">
        <f t="shared" si="1"/>
        <v>3.9677567556279493E-3</v>
      </c>
      <c r="E46" s="611">
        <f t="shared" si="2"/>
        <v>0.96520903813223058</v>
      </c>
      <c r="F46">
        <v>38</v>
      </c>
      <c r="H46" t="s">
        <v>890</v>
      </c>
      <c r="I46" s="509">
        <v>95</v>
      </c>
    </row>
    <row r="47" spans="1:13" x14ac:dyDescent="0.25">
      <c r="A47" s="610">
        <v>361</v>
      </c>
      <c r="B47" s="60" t="s">
        <v>107</v>
      </c>
      <c r="C47" s="509">
        <v>95</v>
      </c>
      <c r="D47" s="169">
        <f t="shared" si="1"/>
        <v>3.9677567556279493E-3</v>
      </c>
      <c r="E47" s="611">
        <f t="shared" si="2"/>
        <v>0.96917679488785857</v>
      </c>
      <c r="F47">
        <v>39</v>
      </c>
      <c r="H47" t="s">
        <v>887</v>
      </c>
      <c r="I47" s="509">
        <v>95</v>
      </c>
    </row>
    <row r="48" spans="1:13" x14ac:dyDescent="0.25">
      <c r="A48" s="610">
        <v>131</v>
      </c>
      <c r="B48" s="60" t="s">
        <v>88</v>
      </c>
      <c r="C48" s="509">
        <v>94</v>
      </c>
      <c r="D48" s="169">
        <f t="shared" si="1"/>
        <v>3.9259908950423925E-3</v>
      </c>
      <c r="E48" s="611">
        <f t="shared" si="2"/>
        <v>0.97310278578290099</v>
      </c>
      <c r="F48">
        <v>40</v>
      </c>
      <c r="H48" t="s">
        <v>885</v>
      </c>
      <c r="I48" s="509">
        <v>94</v>
      </c>
    </row>
    <row r="49" spans="1:9" x14ac:dyDescent="0.25">
      <c r="A49" s="610">
        <v>131</v>
      </c>
      <c r="B49" s="60" t="s">
        <v>86</v>
      </c>
      <c r="C49" s="509">
        <v>78</v>
      </c>
      <c r="D49" s="169">
        <f t="shared" si="1"/>
        <v>3.2577371256734744E-3</v>
      </c>
      <c r="E49" s="611">
        <f t="shared" si="2"/>
        <v>0.97636052290857445</v>
      </c>
      <c r="F49">
        <v>41</v>
      </c>
      <c r="H49" t="s">
        <v>894</v>
      </c>
      <c r="I49" s="509">
        <v>78</v>
      </c>
    </row>
    <row r="50" spans="1:9" x14ac:dyDescent="0.25">
      <c r="A50" s="610">
        <v>361</v>
      </c>
      <c r="B50" s="60" t="s">
        <v>99</v>
      </c>
      <c r="C50" s="509">
        <v>77</v>
      </c>
      <c r="D50" s="169">
        <f t="shared" si="1"/>
        <v>3.2159712650879171E-3</v>
      </c>
      <c r="E50" s="611">
        <f t="shared" si="2"/>
        <v>0.97957649417366233</v>
      </c>
      <c r="F50">
        <v>42</v>
      </c>
      <c r="H50" t="s">
        <v>887</v>
      </c>
      <c r="I50" s="509">
        <v>77</v>
      </c>
    </row>
    <row r="51" spans="1:9" x14ac:dyDescent="0.25">
      <c r="A51" s="610">
        <v>361</v>
      </c>
      <c r="B51" s="56" t="s">
        <v>772</v>
      </c>
      <c r="C51" s="509">
        <v>69</v>
      </c>
      <c r="D51" s="169">
        <f t="shared" si="1"/>
        <v>2.881844380403458E-3</v>
      </c>
      <c r="E51" s="611">
        <f t="shared" si="2"/>
        <v>0.98245833855406584</v>
      </c>
      <c r="F51">
        <v>43</v>
      </c>
      <c r="H51" t="s">
        <v>887</v>
      </c>
      <c r="I51" s="509">
        <v>69</v>
      </c>
    </row>
    <row r="52" spans="1:9" x14ac:dyDescent="0.25">
      <c r="A52" s="610">
        <v>334</v>
      </c>
      <c r="B52" s="56" t="s">
        <v>691</v>
      </c>
      <c r="C52" s="509">
        <v>68</v>
      </c>
      <c r="D52" s="169">
        <f t="shared" si="1"/>
        <v>2.8400785198179007E-3</v>
      </c>
      <c r="E52" s="611">
        <f t="shared" si="2"/>
        <v>0.98529841707388377</v>
      </c>
      <c r="F52">
        <v>44</v>
      </c>
      <c r="H52" t="s">
        <v>894</v>
      </c>
      <c r="I52" s="509">
        <v>68</v>
      </c>
    </row>
    <row r="53" spans="1:9" x14ac:dyDescent="0.25">
      <c r="A53" s="610">
        <v>361</v>
      </c>
      <c r="B53" s="60" t="s">
        <v>771</v>
      </c>
      <c r="C53" s="509">
        <v>68</v>
      </c>
      <c r="D53" s="169">
        <f t="shared" si="1"/>
        <v>2.8400785198179007E-3</v>
      </c>
      <c r="E53" s="611">
        <f t="shared" si="2"/>
        <v>0.9881384955937017</v>
      </c>
      <c r="F53">
        <v>45</v>
      </c>
      <c r="H53" t="s">
        <v>887</v>
      </c>
      <c r="I53" s="509">
        <v>68</v>
      </c>
    </row>
    <row r="54" spans="1:9" x14ac:dyDescent="0.25">
      <c r="A54" s="610">
        <v>361</v>
      </c>
      <c r="B54" s="60" t="s">
        <v>106</v>
      </c>
      <c r="C54" s="509">
        <v>59</v>
      </c>
      <c r="D54" s="169">
        <f t="shared" si="1"/>
        <v>2.4641857745478844E-3</v>
      </c>
      <c r="E54" s="611">
        <f t="shared" si="2"/>
        <v>0.99060268136824958</v>
      </c>
      <c r="F54">
        <v>46</v>
      </c>
      <c r="H54" t="s">
        <v>887</v>
      </c>
      <c r="I54" s="509">
        <v>59</v>
      </c>
    </row>
    <row r="55" spans="1:9" x14ac:dyDescent="0.25">
      <c r="A55" s="610">
        <v>131</v>
      </c>
      <c r="B55" s="60" t="s">
        <v>100</v>
      </c>
      <c r="C55" s="509">
        <v>47</v>
      </c>
      <c r="D55" s="169">
        <f t="shared" si="1"/>
        <v>1.9629954475211962E-3</v>
      </c>
      <c r="E55" s="611">
        <f t="shared" si="2"/>
        <v>0.99256567681577079</v>
      </c>
      <c r="F55">
        <v>47</v>
      </c>
      <c r="H55" t="s">
        <v>889</v>
      </c>
      <c r="I55" s="509">
        <v>47</v>
      </c>
    </row>
    <row r="56" spans="1:9" x14ac:dyDescent="0.25">
      <c r="A56" s="610">
        <v>131</v>
      </c>
      <c r="B56" s="56" t="s">
        <v>700</v>
      </c>
      <c r="C56" s="509">
        <v>46</v>
      </c>
      <c r="D56" s="169">
        <f t="shared" si="1"/>
        <v>1.9212295869356388E-3</v>
      </c>
      <c r="E56" s="611">
        <f t="shared" si="2"/>
        <v>0.99448690640270643</v>
      </c>
      <c r="F56">
        <v>48</v>
      </c>
      <c r="H56" t="s">
        <v>892</v>
      </c>
      <c r="I56" s="509">
        <v>46</v>
      </c>
    </row>
    <row r="57" spans="1:9" x14ac:dyDescent="0.25">
      <c r="A57" s="610">
        <v>175</v>
      </c>
      <c r="B57" s="56" t="s">
        <v>103</v>
      </c>
      <c r="C57" s="509">
        <v>40</v>
      </c>
      <c r="D57" s="169">
        <f t="shared" si="1"/>
        <v>1.6706344234222947E-3</v>
      </c>
      <c r="E57" s="611">
        <f t="shared" si="2"/>
        <v>0.99615754082612873</v>
      </c>
      <c r="F57">
        <v>49</v>
      </c>
      <c r="H57" t="s">
        <v>884</v>
      </c>
      <c r="I57" s="509">
        <v>40</v>
      </c>
    </row>
    <row r="58" spans="1:9" x14ac:dyDescent="0.25">
      <c r="A58" s="610">
        <v>361</v>
      </c>
      <c r="B58" s="60" t="s">
        <v>693</v>
      </c>
      <c r="C58" s="509">
        <v>37</v>
      </c>
      <c r="D58" s="169">
        <f t="shared" si="1"/>
        <v>1.5453368416656224E-3</v>
      </c>
      <c r="E58" s="611">
        <f t="shared" si="2"/>
        <v>0.99770287766779431</v>
      </c>
      <c r="F58">
        <v>50</v>
      </c>
      <c r="H58" t="s">
        <v>887</v>
      </c>
      <c r="I58" s="509">
        <v>37</v>
      </c>
    </row>
    <row r="59" spans="1:9" x14ac:dyDescent="0.25">
      <c r="A59" s="610">
        <v>175</v>
      </c>
      <c r="B59" s="56" t="s">
        <v>760</v>
      </c>
      <c r="C59" s="509">
        <v>36</v>
      </c>
      <c r="D59" s="169">
        <f t="shared" si="1"/>
        <v>1.5035709810800651E-3</v>
      </c>
      <c r="E59" s="611">
        <f t="shared" si="2"/>
        <v>0.99920644864887442</v>
      </c>
      <c r="F59">
        <v>51</v>
      </c>
      <c r="H59" t="s">
        <v>893</v>
      </c>
      <c r="I59" s="509">
        <v>36</v>
      </c>
    </row>
    <row r="60" spans="1:9" x14ac:dyDescent="0.25">
      <c r="A60" s="612">
        <v>175</v>
      </c>
      <c r="B60" s="629" t="s">
        <v>883</v>
      </c>
      <c r="C60" s="613">
        <v>19</v>
      </c>
      <c r="D60" s="614">
        <f t="shared" si="1"/>
        <v>7.9355135112558995E-4</v>
      </c>
      <c r="E60" s="615">
        <f t="shared" si="2"/>
        <v>1</v>
      </c>
      <c r="F60">
        <v>52</v>
      </c>
      <c r="G60">
        <f>52+20+7</f>
        <v>79</v>
      </c>
      <c r="H60" t="s">
        <v>893</v>
      </c>
      <c r="I60" s="613">
        <v>19</v>
      </c>
    </row>
  </sheetData>
  <sortState xmlns:xlrd2="http://schemas.microsoft.com/office/spreadsheetml/2017/richdata2" ref="A9:C60">
    <sortCondition descending="1" ref="C9:C60"/>
  </sortState>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1:V76"/>
  <sheetViews>
    <sheetView zoomScale="96" zoomScaleNormal="96" workbookViewId="0">
      <pane xSplit="3" ySplit="5" topLeftCell="D6" activePane="bottomRight" state="frozen"/>
      <selection pane="topRight" activeCell="D1" sqref="D1"/>
      <selection pane="bottomLeft" activeCell="A6" sqref="A6"/>
      <selection pane="bottomRight" activeCell="P30" sqref="P30"/>
    </sheetView>
  </sheetViews>
  <sheetFormatPr baseColWidth="10" defaultColWidth="9.08984375" defaultRowHeight="10" x14ac:dyDescent="0.2"/>
  <cols>
    <col min="1" max="1" width="82.54296875" style="3" customWidth="1"/>
    <col min="2" max="3" width="7.08984375" style="3" hidden="1" customWidth="1"/>
    <col min="4" max="4" width="9" style="3" customWidth="1"/>
    <col min="5" max="5" width="11.54296875" style="3" bestFit="1" customWidth="1"/>
    <col min="6" max="6" width="8.6328125" style="3" bestFit="1" customWidth="1"/>
    <col min="7" max="7" width="12.453125" style="3" bestFit="1" customWidth="1"/>
    <col min="8" max="8" width="8.6328125" style="3" bestFit="1" customWidth="1"/>
    <col min="9" max="9" width="10" style="3" hidden="1" customWidth="1"/>
    <col min="10" max="10" width="7.54296875" style="3" hidden="1" customWidth="1"/>
    <col min="11" max="11" width="7.54296875" style="3" customWidth="1"/>
    <col min="12" max="12" width="6.90625" style="3" hidden="1" customWidth="1"/>
    <col min="13" max="13" width="12" style="3" hidden="1" customWidth="1"/>
    <col min="14" max="14" width="9.453125" style="3" hidden="1" customWidth="1"/>
    <col min="15" max="15" width="8.453125" style="3" hidden="1" customWidth="1"/>
    <col min="16" max="16" width="9.36328125" style="3" customWidth="1"/>
    <col min="17" max="20" width="9.08984375" style="3"/>
    <col min="21" max="21" width="8.90625" style="3" customWidth="1"/>
    <col min="22" max="22" width="10" style="3" bestFit="1" customWidth="1"/>
    <col min="23" max="16384" width="9.08984375" style="3"/>
  </cols>
  <sheetData>
    <row r="1" spans="1:22" ht="14.9" customHeight="1" x14ac:dyDescent="0.25">
      <c r="A1" s="452" t="s">
        <v>924</v>
      </c>
      <c r="B1" s="67"/>
      <c r="C1" s="1"/>
      <c r="E1" s="465"/>
      <c r="F1" s="465"/>
      <c r="G1" s="54"/>
      <c r="H1" s="54"/>
      <c r="I1" s="465"/>
    </row>
    <row r="2" spans="1:22" ht="14.9" customHeight="1" x14ac:dyDescent="0.25">
      <c r="A2" s="3" t="s">
        <v>774</v>
      </c>
      <c r="B2" s="1"/>
      <c r="C2" s="1"/>
      <c r="G2" s="467"/>
      <c r="H2" s="467"/>
      <c r="L2" s="2"/>
      <c r="M2" s="71" t="s">
        <v>850</v>
      </c>
      <c r="O2" s="71" t="s">
        <v>850</v>
      </c>
      <c r="R2" s="71" t="s">
        <v>850</v>
      </c>
      <c r="T2" s="71" t="s">
        <v>850</v>
      </c>
    </row>
    <row r="3" spans="1:22" ht="14.9" customHeight="1" x14ac:dyDescent="0.25">
      <c r="A3" s="29"/>
      <c r="B3" s="67" t="s">
        <v>727</v>
      </c>
      <c r="C3" s="67" t="s">
        <v>727</v>
      </c>
      <c r="F3" s="465"/>
      <c r="G3" s="465"/>
      <c r="H3" s="465"/>
      <c r="J3" s="62"/>
      <c r="K3" s="465"/>
      <c r="M3" s="71" t="s">
        <v>852</v>
      </c>
      <c r="O3" s="71" t="s">
        <v>958</v>
      </c>
      <c r="P3" s="465"/>
      <c r="R3" s="71" t="s">
        <v>849</v>
      </c>
      <c r="T3" s="71" t="s">
        <v>851</v>
      </c>
    </row>
    <row r="4" spans="1:22" ht="14.9" customHeight="1" x14ac:dyDescent="0.25">
      <c r="B4" s="198">
        <v>2017</v>
      </c>
      <c r="C4" s="198">
        <v>2018</v>
      </c>
      <c r="D4" s="6">
        <v>2019</v>
      </c>
      <c r="E4" s="740">
        <v>2020</v>
      </c>
      <c r="F4" s="165">
        <v>2020</v>
      </c>
      <c r="G4" s="165">
        <v>2021</v>
      </c>
      <c r="H4" s="267">
        <v>2022</v>
      </c>
      <c r="I4" s="1075">
        <v>2023</v>
      </c>
      <c r="J4" s="1076"/>
      <c r="K4" s="561">
        <v>2023</v>
      </c>
      <c r="L4" s="1066">
        <v>2024</v>
      </c>
      <c r="M4" s="1067"/>
      <c r="N4" s="1075">
        <v>2024</v>
      </c>
      <c r="O4" s="1076"/>
      <c r="P4" s="561">
        <v>2024</v>
      </c>
      <c r="Q4" s="1075">
        <v>2025</v>
      </c>
      <c r="R4" s="1076"/>
      <c r="S4" s="1066">
        <v>2026</v>
      </c>
      <c r="T4" s="1067"/>
    </row>
    <row r="5" spans="1:22" ht="21" x14ac:dyDescent="0.25">
      <c r="A5" s="393"/>
      <c r="B5" s="453" t="s">
        <v>58</v>
      </c>
      <c r="C5" s="453" t="s">
        <v>58</v>
      </c>
      <c r="D5" s="454" t="s">
        <v>58</v>
      </c>
      <c r="E5" s="322" t="s">
        <v>51</v>
      </c>
      <c r="F5" s="455" t="s">
        <v>118</v>
      </c>
      <c r="G5" s="455" t="s">
        <v>118</v>
      </c>
      <c r="H5" s="456" t="s">
        <v>118</v>
      </c>
      <c r="I5" s="1077" t="s">
        <v>51</v>
      </c>
      <c r="J5" s="1078"/>
      <c r="K5" s="562" t="s">
        <v>118</v>
      </c>
      <c r="L5" s="1070" t="s">
        <v>753</v>
      </c>
      <c r="M5" s="1071"/>
      <c r="N5" s="1077" t="s">
        <v>51</v>
      </c>
      <c r="O5" s="1078"/>
      <c r="P5" s="562" t="s">
        <v>118</v>
      </c>
      <c r="Q5" s="1077" t="s">
        <v>51</v>
      </c>
      <c r="R5" s="1078"/>
      <c r="S5" s="1070" t="s">
        <v>753</v>
      </c>
      <c r="T5" s="1071"/>
      <c r="U5" s="681" t="s">
        <v>912</v>
      </c>
      <c r="V5" s="681" t="s">
        <v>913</v>
      </c>
    </row>
    <row r="6" spans="1:22" ht="18" customHeight="1" x14ac:dyDescent="0.2">
      <c r="A6" s="37" t="s">
        <v>67</v>
      </c>
      <c r="B6" s="199">
        <v>4233.5099999999993</v>
      </c>
      <c r="C6" s="199">
        <v>4259.4599999999982</v>
      </c>
      <c r="D6" s="48">
        <v>4348.8599999999997</v>
      </c>
      <c r="E6" s="324">
        <v>4422.47</v>
      </c>
      <c r="F6" s="131">
        <f>SUM(F7:F22)-F8</f>
        <v>4700.04</v>
      </c>
      <c r="G6" s="259">
        <f>SUM(G7:G22)</f>
        <v>4786.6399999999994</v>
      </c>
      <c r="H6" s="268">
        <f>SUM(H7:H22)-H8-H21</f>
        <v>5000.4299999999994</v>
      </c>
      <c r="I6" s="324">
        <f>SUM(I7:I22)</f>
        <v>4988.0300000000007</v>
      </c>
      <c r="J6" s="746">
        <f>SUM(J7:J22)</f>
        <v>0.53003364226982252</v>
      </c>
      <c r="K6" s="762">
        <f>SUM(K7:K22)-K8</f>
        <v>5090.7199999999984</v>
      </c>
      <c r="L6" s="341">
        <f>SUM(L7:L22)</f>
        <v>5256.5700000000006</v>
      </c>
      <c r="M6" s="342">
        <f>L6/I6-1</f>
        <v>5.3836885503896204E-2</v>
      </c>
      <c r="N6" s="324">
        <f>SUM(N7:N22)-N8</f>
        <v>5138.72</v>
      </c>
      <c r="O6" s="426">
        <f t="shared" ref="O6:O14" si="0">N6/K6-1</f>
        <v>9.4289216456615588E-3</v>
      </c>
      <c r="P6" s="566">
        <f>SUM(P7:P22)-P8</f>
        <v>5316.16</v>
      </c>
      <c r="Q6" s="324">
        <f>SUM(Q7:Q22)-Q8</f>
        <v>5008.1899999999987</v>
      </c>
      <c r="R6" s="754">
        <f t="shared" ref="R6:R11" si="1">Q6/P6-1</f>
        <v>-5.7930912538373791E-2</v>
      </c>
      <c r="S6" s="341">
        <f>SUM(S7:S22)-S8</f>
        <v>5096.6100000000006</v>
      </c>
      <c r="T6" s="572">
        <f>S6/Q6-1</f>
        <v>1.7655080977359461E-2</v>
      </c>
      <c r="U6" s="582">
        <f>S6/S$25</f>
        <v>0.53376642554399234</v>
      </c>
      <c r="V6" s="582">
        <f>SUM(V7:V22)</f>
        <v>1.0006569239585561</v>
      </c>
    </row>
    <row r="7" spans="1:22" ht="14.9" customHeight="1" x14ac:dyDescent="0.2">
      <c r="A7" s="8" t="s">
        <v>845</v>
      </c>
      <c r="B7" s="200">
        <v>2571.37</v>
      </c>
      <c r="C7" s="200">
        <v>2591.62</v>
      </c>
      <c r="D7" s="49">
        <v>2645.92</v>
      </c>
      <c r="E7" s="741">
        <v>2625.27</v>
      </c>
      <c r="F7" s="174">
        <v>2842.18</v>
      </c>
      <c r="G7" s="260">
        <v>2915.1</v>
      </c>
      <c r="H7" s="269">
        <v>2986.53</v>
      </c>
      <c r="I7" s="325">
        <v>3041.31</v>
      </c>
      <c r="J7" s="541">
        <f>I7/I$25</f>
        <v>0.32317299947507006</v>
      </c>
      <c r="K7" s="763">
        <v>3044.01</v>
      </c>
      <c r="L7" s="343">
        <v>3174.41</v>
      </c>
      <c r="M7" s="344">
        <f t="shared" ref="M7:M25" si="2">L7/I7-1</f>
        <v>4.3764035892427833E-2</v>
      </c>
      <c r="N7" s="325">
        <v>3076.45</v>
      </c>
      <c r="O7" s="541">
        <f t="shared" si="0"/>
        <v>1.0656995213550458E-2</v>
      </c>
      <c r="P7" s="565">
        <v>3216.57</v>
      </c>
      <c r="Q7" s="325">
        <v>3143.52</v>
      </c>
      <c r="R7" s="755">
        <f t="shared" si="1"/>
        <v>-2.2710527052108409E-2</v>
      </c>
      <c r="S7" s="343">
        <v>3228.96</v>
      </c>
      <c r="T7" s="570">
        <f t="shared" ref="T7:T25" si="3">S7/Q7-1</f>
        <v>2.7179722094976322E-2</v>
      </c>
      <c r="U7" s="413">
        <f>S7/S$25</f>
        <v>0.33816800528675517</v>
      </c>
      <c r="V7" s="413">
        <f t="shared" ref="V7:V22" si="4">Q7/Q$6</f>
        <v>0.62767586692996891</v>
      </c>
    </row>
    <row r="8" spans="1:22" ht="14.9" customHeight="1" x14ac:dyDescent="0.2">
      <c r="A8" s="10" t="s">
        <v>846</v>
      </c>
      <c r="B8" s="200">
        <v>2.56</v>
      </c>
      <c r="C8" s="200">
        <v>3.78</v>
      </c>
      <c r="D8" s="49">
        <v>2.81</v>
      </c>
      <c r="E8" s="741">
        <v>3.02</v>
      </c>
      <c r="F8" s="113">
        <v>2.91</v>
      </c>
      <c r="G8" s="260">
        <v>2.95</v>
      </c>
      <c r="H8" s="270">
        <v>3.1</v>
      </c>
      <c r="I8" s="325">
        <v>3.19</v>
      </c>
      <c r="J8" s="541">
        <f t="shared" ref="J8:J24" si="5">I8/I$25</f>
        <v>3.3897296504646797E-4</v>
      </c>
      <c r="K8" s="763">
        <v>3.46</v>
      </c>
      <c r="L8" s="343">
        <v>3.17</v>
      </c>
      <c r="M8" s="345">
        <f t="shared" si="2"/>
        <v>-6.2695924764890609E-3</v>
      </c>
      <c r="N8" s="325">
        <v>3.17</v>
      </c>
      <c r="O8" s="755">
        <f t="shared" si="0"/>
        <v>-8.381502890173409E-2</v>
      </c>
      <c r="P8" s="565">
        <v>3.15</v>
      </c>
      <c r="Q8" s="325">
        <v>3.29</v>
      </c>
      <c r="R8" s="541">
        <f t="shared" si="1"/>
        <v>4.4444444444444509E-2</v>
      </c>
      <c r="S8" s="343">
        <v>3.29</v>
      </c>
      <c r="T8" s="570">
        <f t="shared" si="3"/>
        <v>0</v>
      </c>
      <c r="U8" s="584">
        <f t="shared" ref="U8:U25" si="6">S8/S$25</f>
        <v>3.4456070604573131E-4</v>
      </c>
      <c r="V8" s="413">
        <f t="shared" si="4"/>
        <v>6.5692395855588561E-4</v>
      </c>
    </row>
    <row r="9" spans="1:22" ht="14.9" customHeight="1" x14ac:dyDescent="0.2">
      <c r="A9" s="8" t="s">
        <v>42</v>
      </c>
      <c r="B9" s="200">
        <v>715.63</v>
      </c>
      <c r="C9" s="200">
        <v>755.95</v>
      </c>
      <c r="D9" s="49">
        <v>727.96</v>
      </c>
      <c r="E9" s="741">
        <v>761.07</v>
      </c>
      <c r="F9" s="113">
        <v>805.88</v>
      </c>
      <c r="G9" s="260">
        <v>763.81</v>
      </c>
      <c r="H9" s="270">
        <v>798.59</v>
      </c>
      <c r="I9" s="325">
        <v>842.26</v>
      </c>
      <c r="J9" s="541">
        <f t="shared" si="5"/>
        <v>8.9499488884024481E-2</v>
      </c>
      <c r="K9" s="763">
        <v>869.28</v>
      </c>
      <c r="L9" s="343">
        <v>900.99</v>
      </c>
      <c r="M9" s="344">
        <f t="shared" si="2"/>
        <v>6.9729062284805243E-2</v>
      </c>
      <c r="N9" s="325">
        <v>949.02</v>
      </c>
      <c r="O9" s="541">
        <f t="shared" si="0"/>
        <v>9.1731087796797395E-2</v>
      </c>
      <c r="P9" s="565">
        <v>916.11</v>
      </c>
      <c r="Q9" s="325">
        <v>716.45</v>
      </c>
      <c r="R9" s="755">
        <f t="shared" si="1"/>
        <v>-0.2179432600888539</v>
      </c>
      <c r="S9" s="343">
        <v>727.51</v>
      </c>
      <c r="T9" s="570">
        <f t="shared" si="3"/>
        <v>1.5437225207620919E-2</v>
      </c>
      <c r="U9" s="413">
        <f t="shared" si="6"/>
        <v>7.619190250921884E-2</v>
      </c>
      <c r="V9" s="413">
        <f t="shared" si="4"/>
        <v>0.14305567480466999</v>
      </c>
    </row>
    <row r="10" spans="1:22" ht="14.9" customHeight="1" x14ac:dyDescent="0.2">
      <c r="A10" s="278" t="s">
        <v>41</v>
      </c>
      <c r="B10" s="200">
        <v>581.66</v>
      </c>
      <c r="C10" s="200">
        <v>597.9</v>
      </c>
      <c r="D10" s="49">
        <v>602.78</v>
      </c>
      <c r="E10" s="741">
        <v>583.22</v>
      </c>
      <c r="F10" s="113">
        <v>617.85</v>
      </c>
      <c r="G10" s="260">
        <v>617.29999999999995</v>
      </c>
      <c r="H10" s="270">
        <v>623.47</v>
      </c>
      <c r="I10" s="325">
        <v>614.03</v>
      </c>
      <c r="J10" s="541">
        <f t="shared" si="5"/>
        <v>6.524751402115446E-2</v>
      </c>
      <c r="K10" s="763">
        <v>639.30999999999995</v>
      </c>
      <c r="L10" s="343">
        <v>626.82000000000005</v>
      </c>
      <c r="M10" s="344">
        <f t="shared" si="2"/>
        <v>2.0829601159552569E-2</v>
      </c>
      <c r="N10" s="325">
        <v>626.82000000000005</v>
      </c>
      <c r="O10" s="755">
        <f t="shared" si="0"/>
        <v>-1.9536687991740909E-2</v>
      </c>
      <c r="P10" s="565">
        <v>645.07000000000005</v>
      </c>
      <c r="Q10" s="325">
        <v>652.73</v>
      </c>
      <c r="R10" s="541">
        <f t="shared" si="1"/>
        <v>1.1874680267257798E-2</v>
      </c>
      <c r="S10" s="343">
        <v>658.18</v>
      </c>
      <c r="T10" s="570">
        <f t="shared" si="3"/>
        <v>8.349547286014003E-3</v>
      </c>
      <c r="U10" s="413">
        <f t="shared" si="6"/>
        <v>6.8930992554765771E-2</v>
      </c>
      <c r="V10" s="413">
        <f t="shared" si="4"/>
        <v>0.13033251533987333</v>
      </c>
    </row>
    <row r="11" spans="1:22" ht="14.9" customHeight="1" x14ac:dyDescent="0.2">
      <c r="A11" s="8" t="s">
        <v>43</v>
      </c>
      <c r="B11" s="200">
        <v>62.03</v>
      </c>
      <c r="C11" s="200">
        <v>102.4</v>
      </c>
      <c r="D11" s="49">
        <v>97.1</v>
      </c>
      <c r="E11" s="741">
        <v>102.49</v>
      </c>
      <c r="F11" s="113">
        <v>119.92</v>
      </c>
      <c r="G11" s="260">
        <v>102.19</v>
      </c>
      <c r="H11" s="270">
        <v>150.63</v>
      </c>
      <c r="I11" s="325">
        <v>166.79</v>
      </c>
      <c r="J11" s="541">
        <f t="shared" si="5"/>
        <v>1.772329179940451E-2</v>
      </c>
      <c r="K11" s="763">
        <v>138.08000000000001</v>
      </c>
      <c r="L11" s="343">
        <v>175.18</v>
      </c>
      <c r="M11" s="344">
        <f t="shared" si="2"/>
        <v>5.0302775945800127E-2</v>
      </c>
      <c r="N11" s="325">
        <v>157.08000000000001</v>
      </c>
      <c r="O11" s="541">
        <f t="shared" si="0"/>
        <v>0.13760139049826181</v>
      </c>
      <c r="P11" s="565">
        <v>127.98</v>
      </c>
      <c r="Q11" s="325">
        <v>165.19</v>
      </c>
      <c r="R11" s="541">
        <f t="shared" si="1"/>
        <v>0.29074855446163461</v>
      </c>
      <c r="S11" s="343">
        <v>147.77000000000001</v>
      </c>
      <c r="T11" s="345">
        <f t="shared" si="3"/>
        <v>-0.10545432532235599</v>
      </c>
      <c r="U11" s="413">
        <f t="shared" si="6"/>
        <v>1.5475907456649762E-2</v>
      </c>
      <c r="V11" s="413">
        <f t="shared" si="4"/>
        <v>3.2983972253448859E-2</v>
      </c>
    </row>
    <row r="12" spans="1:22" ht="14.9" customHeight="1" x14ac:dyDescent="0.2">
      <c r="A12" s="279" t="s">
        <v>734</v>
      </c>
      <c r="B12" s="201">
        <v>18.48</v>
      </c>
      <c r="C12" s="200">
        <v>19.239999999999998</v>
      </c>
      <c r="D12" s="49">
        <v>109.29</v>
      </c>
      <c r="E12" s="741">
        <v>109.29</v>
      </c>
      <c r="F12" s="113">
        <v>133.68</v>
      </c>
      <c r="G12" s="260">
        <v>153.82</v>
      </c>
      <c r="H12" s="270">
        <v>254.16</v>
      </c>
      <c r="I12" s="325">
        <v>152.05000000000001</v>
      </c>
      <c r="J12" s="541">
        <f t="shared" si="5"/>
        <v>1.6157002926431178E-2</v>
      </c>
      <c r="K12" s="763">
        <v>241.63</v>
      </c>
      <c r="L12" s="343">
        <v>147.1</v>
      </c>
      <c r="M12" s="345">
        <f t="shared" si="2"/>
        <v>-3.2555080565603522E-2</v>
      </c>
      <c r="N12" s="325">
        <v>166.01</v>
      </c>
      <c r="O12" s="755">
        <f t="shared" si="0"/>
        <v>-0.31295782808426109</v>
      </c>
      <c r="P12" s="604">
        <v>260.67</v>
      </c>
      <c r="Q12" s="325">
        <v>154.5</v>
      </c>
      <c r="R12" s="755">
        <f>Q12/P12-1</f>
        <v>-0.40729658188514217</v>
      </c>
      <c r="S12" s="343">
        <v>152.88999999999999</v>
      </c>
      <c r="T12" s="345">
        <f t="shared" si="3"/>
        <v>-1.0420711974110097E-2</v>
      </c>
      <c r="U12" s="413">
        <f t="shared" si="6"/>
        <v>1.6012123509827312E-2</v>
      </c>
      <c r="V12" s="413">
        <f t="shared" si="4"/>
        <v>3.0849468570481559E-2</v>
      </c>
    </row>
    <row r="13" spans="1:22" ht="14.9" customHeight="1" x14ac:dyDescent="0.2">
      <c r="A13" s="8" t="s">
        <v>735</v>
      </c>
      <c r="B13" s="202">
        <v>124.04</v>
      </c>
      <c r="C13" s="200">
        <v>114.95</v>
      </c>
      <c r="D13" s="49">
        <v>107.86</v>
      </c>
      <c r="E13" s="741">
        <v>97.7</v>
      </c>
      <c r="F13" s="113">
        <v>109.73</v>
      </c>
      <c r="G13" s="260">
        <v>150.37</v>
      </c>
      <c r="H13" s="270">
        <v>97.2</v>
      </c>
      <c r="I13" s="325">
        <v>53.52</v>
      </c>
      <c r="J13" s="541">
        <f t="shared" si="5"/>
        <v>5.6870950123156638E-3</v>
      </c>
      <c r="K13" s="763">
        <v>52.5</v>
      </c>
      <c r="L13" s="343">
        <v>70.099999999999994</v>
      </c>
      <c r="M13" s="344">
        <f t="shared" si="2"/>
        <v>0.30979073243647215</v>
      </c>
      <c r="N13" s="325">
        <v>58.5</v>
      </c>
      <c r="O13" s="541">
        <f t="shared" si="0"/>
        <v>0.11428571428571432</v>
      </c>
      <c r="P13" s="565">
        <v>58.15</v>
      </c>
      <c r="Q13" s="325">
        <v>51.73</v>
      </c>
      <c r="R13" s="755">
        <f t="shared" ref="R13:R25" si="7">Q13/P13-1</f>
        <v>-0.11040412725709381</v>
      </c>
      <c r="S13" s="343">
        <v>36.19</v>
      </c>
      <c r="T13" s="345">
        <f t="shared" si="3"/>
        <v>-0.30040595399188097</v>
      </c>
      <c r="U13" s="55">
        <f t="shared" si="6"/>
        <v>3.7901677665030439E-3</v>
      </c>
      <c r="V13" s="413">
        <f t="shared" si="4"/>
        <v>1.0329080965378712E-2</v>
      </c>
    </row>
    <row r="14" spans="1:22" ht="14.9" customHeight="1" x14ac:dyDescent="0.2">
      <c r="A14" s="10" t="s">
        <v>733</v>
      </c>
      <c r="B14" s="200">
        <v>33.75</v>
      </c>
      <c r="C14" s="200">
        <v>33.92</v>
      </c>
      <c r="D14" s="49">
        <v>34.17</v>
      </c>
      <c r="E14" s="741">
        <v>35.51</v>
      </c>
      <c r="F14" s="113">
        <v>34.6</v>
      </c>
      <c r="G14" s="260">
        <v>32.200000000000003</v>
      </c>
      <c r="H14" s="270">
        <v>38.4</v>
      </c>
      <c r="I14" s="325">
        <v>40.1</v>
      </c>
      <c r="J14" s="747">
        <f t="shared" si="5"/>
        <v>4.2610708145339703E-3</v>
      </c>
      <c r="K14" s="763">
        <v>40.11</v>
      </c>
      <c r="L14" s="343">
        <v>41.8</v>
      </c>
      <c r="M14" s="344">
        <f t="shared" si="2"/>
        <v>4.2394014962593429E-2</v>
      </c>
      <c r="N14" s="325">
        <v>41.4</v>
      </c>
      <c r="O14" s="755">
        <f t="shared" si="0"/>
        <v>3.2161555721765156E-2</v>
      </c>
      <c r="P14" s="565">
        <v>44.62</v>
      </c>
      <c r="Q14" s="325">
        <v>44.36</v>
      </c>
      <c r="R14" s="755">
        <f t="shared" si="7"/>
        <v>-5.8269834155086908E-3</v>
      </c>
      <c r="S14" s="343">
        <v>45.24</v>
      </c>
      <c r="T14" s="570">
        <f t="shared" si="3"/>
        <v>1.9837691614066788E-2</v>
      </c>
      <c r="U14" s="55">
        <f t="shared" si="6"/>
        <v>4.7379715323735208E-3</v>
      </c>
      <c r="V14" s="413">
        <f t="shared" si="4"/>
        <v>8.8574914290392368E-3</v>
      </c>
    </row>
    <row r="15" spans="1:22" ht="14.9" customHeight="1" x14ac:dyDescent="0.2">
      <c r="A15" s="279" t="s">
        <v>737</v>
      </c>
      <c r="B15" s="203">
        <v>5.0599999999999996</v>
      </c>
      <c r="C15" s="200">
        <v>11.9</v>
      </c>
      <c r="D15" s="49">
        <v>16.260000000000002</v>
      </c>
      <c r="E15" s="741">
        <v>24.28</v>
      </c>
      <c r="F15" s="113">
        <v>8.58</v>
      </c>
      <c r="G15" s="260"/>
      <c r="H15" s="271"/>
      <c r="I15" s="325"/>
      <c r="J15" s="541"/>
      <c r="K15" s="763"/>
      <c r="L15" s="343"/>
      <c r="M15" s="346"/>
      <c r="N15" s="325"/>
      <c r="O15" s="541"/>
      <c r="P15" s="565"/>
      <c r="Q15" s="325"/>
      <c r="R15" s="541"/>
      <c r="S15" s="343"/>
      <c r="T15" s="344"/>
      <c r="V15" s="413">
        <f t="shared" si="4"/>
        <v>0</v>
      </c>
    </row>
    <row r="16" spans="1:22" ht="14.9" customHeight="1" x14ac:dyDescent="0.2">
      <c r="A16" s="8" t="s">
        <v>8</v>
      </c>
      <c r="B16" s="203">
        <v>87.11</v>
      </c>
      <c r="C16" s="204">
        <v>5.55</v>
      </c>
      <c r="D16" s="49">
        <v>5.51</v>
      </c>
      <c r="E16" s="741">
        <v>6.58</v>
      </c>
      <c r="F16" s="113">
        <v>5.36</v>
      </c>
      <c r="G16" s="260">
        <v>4.66</v>
      </c>
      <c r="H16" s="270">
        <v>4.1100000000000003</v>
      </c>
      <c r="I16" s="325">
        <v>7.29</v>
      </c>
      <c r="J16" s="747">
        <f t="shared" si="5"/>
        <v>7.7464354708111337E-4</v>
      </c>
      <c r="K16" s="763">
        <v>12.04</v>
      </c>
      <c r="L16" s="343">
        <v>10.47</v>
      </c>
      <c r="M16" s="344">
        <f t="shared" si="2"/>
        <v>0.43621399176954734</v>
      </c>
      <c r="N16" s="325">
        <v>12.6</v>
      </c>
      <c r="O16" s="541">
        <f>N16/K16-1</f>
        <v>4.6511627906976827E-2</v>
      </c>
      <c r="P16" s="565">
        <v>6.51</v>
      </c>
      <c r="Q16" s="325">
        <v>10.47</v>
      </c>
      <c r="R16" s="541">
        <f t="shared" si="7"/>
        <v>0.60829493087557629</v>
      </c>
      <c r="S16" s="343">
        <v>10.83</v>
      </c>
      <c r="T16" s="570">
        <f t="shared" si="3"/>
        <v>3.4383954154727725E-2</v>
      </c>
      <c r="U16" s="55">
        <f t="shared" si="6"/>
        <v>1.1342226281079847E-3</v>
      </c>
      <c r="V16" s="413">
        <f t="shared" si="4"/>
        <v>2.0905756371064205E-3</v>
      </c>
    </row>
    <row r="17" spans="1:22" ht="14.9" customHeight="1" x14ac:dyDescent="0.2">
      <c r="A17" s="8" t="s">
        <v>140</v>
      </c>
      <c r="B17" s="205">
        <v>9.0299999999999994</v>
      </c>
      <c r="C17" s="200">
        <v>8.09</v>
      </c>
      <c r="D17" s="49">
        <v>10.039999999999999</v>
      </c>
      <c r="E17" s="741">
        <v>9.74</v>
      </c>
      <c r="F17" s="255"/>
      <c r="G17" s="260"/>
      <c r="H17" s="272"/>
      <c r="I17" s="325"/>
      <c r="J17" s="541"/>
      <c r="K17" s="763"/>
      <c r="L17" s="343"/>
      <c r="M17" s="346"/>
      <c r="N17" s="325"/>
      <c r="O17" s="541"/>
      <c r="P17" s="565"/>
      <c r="Q17" s="325"/>
      <c r="R17" s="541"/>
      <c r="S17" s="343"/>
      <c r="T17" s="344"/>
      <c r="V17" s="413">
        <f t="shared" si="4"/>
        <v>0</v>
      </c>
    </row>
    <row r="18" spans="1:22" ht="14.9" customHeight="1" x14ac:dyDescent="0.2">
      <c r="A18" s="8" t="s">
        <v>9</v>
      </c>
      <c r="B18" s="200">
        <v>5.95</v>
      </c>
      <c r="C18" s="200">
        <v>8.44</v>
      </c>
      <c r="D18" s="49">
        <v>9.24</v>
      </c>
      <c r="E18" s="741">
        <v>11.98</v>
      </c>
      <c r="F18" s="113">
        <v>17.05</v>
      </c>
      <c r="G18" s="260">
        <v>34.5</v>
      </c>
      <c r="H18" s="270">
        <v>35.83</v>
      </c>
      <c r="I18" s="325">
        <v>55.36</v>
      </c>
      <c r="J18" s="541">
        <f t="shared" si="5"/>
        <v>5.8826154686434061E-3</v>
      </c>
      <c r="K18" s="763">
        <v>42.59</v>
      </c>
      <c r="L18" s="343">
        <v>93.24</v>
      </c>
      <c r="M18" s="344">
        <f t="shared" si="2"/>
        <v>0.68424855491329462</v>
      </c>
      <c r="N18" s="325">
        <v>40.56</v>
      </c>
      <c r="O18" s="755">
        <f>N18/K18-1</f>
        <v>-4.7663770838224928E-2</v>
      </c>
      <c r="P18" s="565">
        <v>30.3</v>
      </c>
      <c r="Q18" s="325">
        <v>63.99</v>
      </c>
      <c r="R18" s="541">
        <f t="shared" si="7"/>
        <v>1.111881188118812</v>
      </c>
      <c r="S18" s="343">
        <v>84.24</v>
      </c>
      <c r="T18" s="570">
        <f t="shared" si="3"/>
        <v>0.31645569620253156</v>
      </c>
      <c r="U18" s="413">
        <f t="shared" si="6"/>
        <v>8.8224297499369005E-3</v>
      </c>
      <c r="V18" s="413">
        <f t="shared" si="4"/>
        <v>1.2777071157444111E-2</v>
      </c>
    </row>
    <row r="19" spans="1:22" ht="14.9" customHeight="1" x14ac:dyDescent="0.2">
      <c r="A19" s="8" t="s">
        <v>10</v>
      </c>
      <c r="B19" s="205">
        <v>13.11</v>
      </c>
      <c r="C19" s="200">
        <v>2.4900000000000002</v>
      </c>
      <c r="D19" s="49">
        <v>2.96</v>
      </c>
      <c r="E19" s="741">
        <v>6.26</v>
      </c>
      <c r="F19" s="113">
        <v>3.5</v>
      </c>
      <c r="G19" s="260">
        <v>6.58</v>
      </c>
      <c r="H19" s="270">
        <v>8.31</v>
      </c>
      <c r="I19" s="325">
        <v>6.34</v>
      </c>
      <c r="J19" s="747">
        <f t="shared" si="5"/>
        <v>6.7369548539015893E-4</v>
      </c>
      <c r="K19" s="763">
        <v>6.96</v>
      </c>
      <c r="L19" s="343">
        <v>6.34</v>
      </c>
      <c r="M19" s="344">
        <f t="shared" si="2"/>
        <v>0</v>
      </c>
      <c r="N19" s="325">
        <v>5.86</v>
      </c>
      <c r="O19" s="755">
        <f>N19/K19-1</f>
        <v>-0.15804597701149425</v>
      </c>
      <c r="P19" s="565">
        <v>6.02</v>
      </c>
      <c r="Q19" s="325">
        <v>1.68</v>
      </c>
      <c r="R19" s="755">
        <f t="shared" si="7"/>
        <v>-0.72093023255813948</v>
      </c>
      <c r="S19" s="343">
        <v>2.68</v>
      </c>
      <c r="T19" s="570">
        <f t="shared" si="3"/>
        <v>0.59523809523809534</v>
      </c>
      <c r="U19" s="584">
        <f t="shared" si="6"/>
        <v>2.8067559033512462E-4</v>
      </c>
      <c r="V19" s="413">
        <f t="shared" si="4"/>
        <v>3.3545053202853732E-4</v>
      </c>
    </row>
    <row r="20" spans="1:22" ht="14.9" customHeight="1" x14ac:dyDescent="0.2">
      <c r="A20" s="8" t="s">
        <v>11</v>
      </c>
      <c r="B20" s="200">
        <v>3.4</v>
      </c>
      <c r="C20" s="200">
        <v>3</v>
      </c>
      <c r="D20" s="49">
        <v>1.55</v>
      </c>
      <c r="E20" s="741">
        <v>1.58</v>
      </c>
      <c r="F20" s="113">
        <v>1.36</v>
      </c>
      <c r="G20" s="260">
        <v>2.85</v>
      </c>
      <c r="H20" s="270">
        <v>2.86</v>
      </c>
      <c r="I20" s="325">
        <v>5.37</v>
      </c>
      <c r="J20" s="747">
        <f t="shared" si="5"/>
        <v>5.7062220134781604E-4</v>
      </c>
      <c r="K20" s="763">
        <v>3.73</v>
      </c>
      <c r="L20" s="343">
        <v>6.38</v>
      </c>
      <c r="M20" s="344">
        <f t="shared" si="2"/>
        <v>0.18808193668528861</v>
      </c>
      <c r="N20" s="325">
        <v>3.91</v>
      </c>
      <c r="O20" s="541">
        <f>N20/K20-1</f>
        <v>4.8257372654155528E-2</v>
      </c>
      <c r="P20" s="565">
        <v>3.74</v>
      </c>
      <c r="Q20" s="325">
        <v>3.12</v>
      </c>
      <c r="R20" s="755">
        <f t="shared" si="7"/>
        <v>-0.16577540106951871</v>
      </c>
      <c r="S20" s="343">
        <v>1.61</v>
      </c>
      <c r="T20" s="345">
        <f t="shared" si="3"/>
        <v>-0.48397435897435892</v>
      </c>
      <c r="U20" s="584">
        <f t="shared" si="6"/>
        <v>1.6861481359684724E-4</v>
      </c>
      <c r="V20" s="413">
        <f t="shared" si="4"/>
        <v>6.2297955948156932E-4</v>
      </c>
    </row>
    <row r="21" spans="1:22" ht="14.9" customHeight="1" x14ac:dyDescent="0.25">
      <c r="A21" s="458" t="s">
        <v>125</v>
      </c>
      <c r="B21" s="200"/>
      <c r="C21" s="200"/>
      <c r="D21" s="49"/>
      <c r="E21" s="741"/>
      <c r="F21" s="113"/>
      <c r="G21" s="260"/>
      <c r="H21" s="457">
        <v>414.4</v>
      </c>
      <c r="I21" s="325"/>
      <c r="J21" s="541"/>
      <c r="K21" s="763"/>
      <c r="L21" s="343"/>
      <c r="M21" s="346"/>
      <c r="N21" s="325"/>
      <c r="O21" s="541"/>
      <c r="P21" s="565"/>
      <c r="Q21" s="325"/>
      <c r="R21" s="541"/>
      <c r="S21" s="343"/>
      <c r="T21" s="344"/>
      <c r="V21" s="413">
        <f t="shared" si="4"/>
        <v>0</v>
      </c>
    </row>
    <row r="22" spans="1:22" ht="14.9" customHeight="1" x14ac:dyDescent="0.2">
      <c r="A22" s="10" t="s">
        <v>132</v>
      </c>
      <c r="B22" s="206">
        <v>0.33</v>
      </c>
      <c r="C22" s="207">
        <v>0.23</v>
      </c>
      <c r="D22" s="9">
        <v>0.38</v>
      </c>
      <c r="E22" s="742">
        <v>0.35</v>
      </c>
      <c r="F22" s="256">
        <v>0.35</v>
      </c>
      <c r="G22" s="261">
        <v>0.31</v>
      </c>
      <c r="H22" s="273">
        <v>0.34</v>
      </c>
      <c r="I22" s="748">
        <v>0.42</v>
      </c>
      <c r="J22" s="603">
        <f t="shared" si="5"/>
        <v>4.4629669379158787E-5</v>
      </c>
      <c r="K22" s="763">
        <v>0.48</v>
      </c>
      <c r="L22" s="347">
        <v>0.56999999999999995</v>
      </c>
      <c r="M22" s="348">
        <f t="shared" si="2"/>
        <v>0.35714285714285698</v>
      </c>
      <c r="N22" s="748">
        <v>0.51</v>
      </c>
      <c r="O22" s="541">
        <f>N22/K22-1</f>
        <v>6.25E-2</v>
      </c>
      <c r="P22" s="565">
        <v>0.42</v>
      </c>
      <c r="Q22" s="748">
        <v>0.45</v>
      </c>
      <c r="R22" s="541">
        <f t="shared" si="7"/>
        <v>7.1428571428571397E-2</v>
      </c>
      <c r="S22" s="347">
        <v>0.51</v>
      </c>
      <c r="T22" s="571">
        <f t="shared" si="3"/>
        <v>0.1333333333333333</v>
      </c>
      <c r="U22" s="585">
        <f t="shared" si="6"/>
        <v>5.3412145921982664E-5</v>
      </c>
      <c r="V22" s="413">
        <f t="shared" si="4"/>
        <v>8.985282107907251E-5</v>
      </c>
    </row>
    <row r="23" spans="1:22" ht="5.15" customHeight="1" x14ac:dyDescent="0.2">
      <c r="A23" s="36"/>
      <c r="B23" s="208"/>
      <c r="C23" s="208"/>
      <c r="D23" s="50"/>
      <c r="E23" s="743"/>
      <c r="F23" s="38"/>
      <c r="G23" s="262"/>
      <c r="H23" s="274"/>
      <c r="I23" s="749"/>
      <c r="J23" s="750"/>
      <c r="K23" s="764"/>
      <c r="L23" s="349"/>
      <c r="M23" s="350"/>
      <c r="N23" s="749"/>
      <c r="O23" s="750"/>
      <c r="P23" s="563"/>
      <c r="Q23" s="749"/>
      <c r="R23" s="750"/>
      <c r="S23" s="349"/>
      <c r="T23" s="342"/>
    </row>
    <row r="24" spans="1:22" ht="14.9" customHeight="1" x14ac:dyDescent="0.25">
      <c r="A24" s="24" t="s">
        <v>64</v>
      </c>
      <c r="B24" s="209">
        <v>3511.17</v>
      </c>
      <c r="C24" s="210">
        <v>3571.28</v>
      </c>
      <c r="D24" s="77">
        <v>3633.09</v>
      </c>
      <c r="E24" s="744">
        <v>3657.81</v>
      </c>
      <c r="F24" s="257">
        <v>4417.78</v>
      </c>
      <c r="G24" s="263">
        <v>4580.54</v>
      </c>
      <c r="H24" s="275">
        <v>4236.92</v>
      </c>
      <c r="I24" s="751">
        <v>4422.75</v>
      </c>
      <c r="J24" s="752">
        <f t="shared" si="5"/>
        <v>0.46996635773017748</v>
      </c>
      <c r="K24" s="765">
        <v>4591.3500000000004</v>
      </c>
      <c r="L24" s="351">
        <v>4635.87</v>
      </c>
      <c r="M24" s="348">
        <f t="shared" si="2"/>
        <v>4.818721383754454E-2</v>
      </c>
      <c r="N24" s="751">
        <v>4641.07</v>
      </c>
      <c r="O24" s="756">
        <f>N24/K24-1</f>
        <v>1.0829058991363993E-2</v>
      </c>
      <c r="P24" s="567">
        <v>4576.96</v>
      </c>
      <c r="Q24" s="751">
        <v>4638.03</v>
      </c>
      <c r="R24" s="756">
        <f t="shared" si="7"/>
        <v>1.3342917569740598E-2</v>
      </c>
      <c r="S24" s="569">
        <v>4451.78</v>
      </c>
      <c r="T24" s="573">
        <f t="shared" si="3"/>
        <v>-4.015713568045054E-2</v>
      </c>
      <c r="U24" s="583">
        <f t="shared" si="6"/>
        <v>0.46623357445600777</v>
      </c>
    </row>
    <row r="25" spans="1:22" ht="17.149999999999999" customHeight="1" x14ac:dyDescent="0.25">
      <c r="A25" s="114" t="s">
        <v>66</v>
      </c>
      <c r="B25" s="211">
        <v>7744.6799999999994</v>
      </c>
      <c r="C25" s="211">
        <v>7830.739999999998</v>
      </c>
      <c r="D25" s="78">
        <v>7968.3799999999992</v>
      </c>
      <c r="E25" s="745">
        <v>8082.24</v>
      </c>
      <c r="F25" s="258">
        <v>9117.4699999999993</v>
      </c>
      <c r="G25" s="264">
        <f>G24+G6</f>
        <v>9367.18</v>
      </c>
      <c r="H25" s="276">
        <f>SUM(H7:H24)-H8-H21</f>
        <v>9237.3499999999985</v>
      </c>
      <c r="I25" s="745">
        <f>SUM(I7:I24)</f>
        <v>9410.7800000000007</v>
      </c>
      <c r="J25" s="753">
        <f>J24+J6</f>
        <v>1</v>
      </c>
      <c r="K25" s="766">
        <f>K24+K6</f>
        <v>9682.07</v>
      </c>
      <c r="L25" s="352">
        <f>SUM(L7:L24)</f>
        <v>9892.44</v>
      </c>
      <c r="M25" s="344">
        <f t="shared" si="2"/>
        <v>5.1181729888489569E-2</v>
      </c>
      <c r="N25" s="745">
        <f>N24+N6</f>
        <v>9779.7900000000009</v>
      </c>
      <c r="O25" s="541">
        <f>N25/K25-1</f>
        <v>1.0092883030178523E-2</v>
      </c>
      <c r="P25" s="568">
        <f>P24+P6</f>
        <v>9893.119999999999</v>
      </c>
      <c r="Q25" s="745">
        <f>Q24+Q6</f>
        <v>9646.2199999999975</v>
      </c>
      <c r="R25" s="755">
        <f t="shared" si="7"/>
        <v>-2.4956737611592894E-2</v>
      </c>
      <c r="S25" s="352">
        <f>S24+S6</f>
        <v>9548.39</v>
      </c>
      <c r="T25" s="574">
        <f t="shared" si="3"/>
        <v>-1.0141796475717779E-2</v>
      </c>
      <c r="U25" s="581">
        <f t="shared" si="6"/>
        <v>1</v>
      </c>
    </row>
    <row r="26" spans="1:22" x14ac:dyDescent="0.2">
      <c r="A26" s="3" t="s">
        <v>130</v>
      </c>
      <c r="B26" s="196">
        <v>1.7795219764761949E-2</v>
      </c>
      <c r="C26" s="196">
        <v>1.7365348737690332E-2</v>
      </c>
      <c r="D26" s="55">
        <v>1.7006462568094703E-2</v>
      </c>
      <c r="E26" s="321">
        <v>1.688955706795774E-2</v>
      </c>
      <c r="F26" s="252">
        <f>F25/'Tableau 1'!D20</f>
        <v>1.8275890185020096E-2</v>
      </c>
      <c r="G26" s="265">
        <f>G25/'Tableau 1'!F20</f>
        <v>1.8588705068015902E-2</v>
      </c>
      <c r="H26" s="277">
        <f>H25/'Tableau 1'!H20</f>
        <v>1.6390807881239748E-2</v>
      </c>
      <c r="I26" s="321">
        <f>I25/'Tableau 1'!I20</f>
        <v>1.6931262158869937E-2</v>
      </c>
      <c r="J26" s="551"/>
      <c r="K26" s="277">
        <f>K25/'Tableau 1'!J20</f>
        <v>1.6472801404909365E-2</v>
      </c>
      <c r="L26" s="353">
        <f>L25/'Tableau 1'!K19</f>
        <v>1.6996409963013596E-2</v>
      </c>
      <c r="M26" s="350"/>
      <c r="N26" s="321">
        <f>N25/'Tableau 1'!K19</f>
        <v>1.6802863620318215E-2</v>
      </c>
      <c r="O26" s="551"/>
      <c r="P26" s="414"/>
      <c r="Q26" s="321">
        <f>Q25/'Tableau 1'!O19</f>
        <v>1.6562963541242509E-2</v>
      </c>
      <c r="R26" s="551"/>
      <c r="S26" s="353">
        <f>S25/'Tableau 1'!S19</f>
        <v>1.6231612014867895E-2</v>
      </c>
      <c r="T26" s="350"/>
    </row>
    <row r="27" spans="1:22" ht="6.75" customHeight="1" x14ac:dyDescent="0.2">
      <c r="D27" s="38"/>
      <c r="E27" s="546"/>
      <c r="F27" s="38"/>
      <c r="G27" s="266"/>
      <c r="H27" s="274"/>
      <c r="I27" s="544"/>
      <c r="J27" s="551"/>
      <c r="K27" s="761"/>
      <c r="L27" s="350"/>
      <c r="M27" s="350"/>
      <c r="N27" s="544"/>
      <c r="O27" s="551"/>
      <c r="P27" s="414"/>
      <c r="Q27" s="544"/>
      <c r="R27" s="551"/>
      <c r="S27" s="350"/>
      <c r="T27" s="350"/>
    </row>
    <row r="28" spans="1:22" x14ac:dyDescent="0.2">
      <c r="A28" s="3" t="s">
        <v>131</v>
      </c>
      <c r="D28" s="38"/>
      <c r="E28" s="546"/>
      <c r="F28" s="252">
        <f>F25/'Tableau 1'!D19</f>
        <v>1.6862370991137306E-2</v>
      </c>
      <c r="G28" s="252">
        <f>G25/'Tableau 1'!F19</f>
        <v>1.681361156837629E-2</v>
      </c>
      <c r="H28" s="280">
        <f>H25/'Tableau 1'!H19</f>
        <v>1.596950626885757E-2</v>
      </c>
      <c r="I28" s="321">
        <f>I25/'Tableau 1'!I19</f>
        <v>1.6308776731598508E-2</v>
      </c>
      <c r="J28" s="551"/>
      <c r="K28" s="277">
        <f>K25/'Tableau 1'!J19</f>
        <v>1.6357959870787211E-2</v>
      </c>
      <c r="L28" s="354"/>
      <c r="M28" s="350"/>
      <c r="N28" s="321"/>
      <c r="O28" s="551"/>
      <c r="P28" s="414"/>
      <c r="Q28" s="321"/>
      <c r="R28" s="551"/>
      <c r="S28" s="354"/>
      <c r="T28" s="350"/>
    </row>
    <row r="29" spans="1:22" ht="12.5" x14ac:dyDescent="0.25">
      <c r="F29" s="465"/>
      <c r="G29" s="465"/>
      <c r="H29" s="465"/>
      <c r="I29" s="32"/>
      <c r="K29" s="793"/>
      <c r="L29" s="793"/>
      <c r="P29" s="465"/>
    </row>
    <row r="30" spans="1:22" ht="12.5" x14ac:dyDescent="0.25">
      <c r="A30" s="97" t="s">
        <v>116</v>
      </c>
      <c r="F30" s="497"/>
      <c r="G30" s="794"/>
      <c r="H30" s="497"/>
      <c r="K30" s="497"/>
      <c r="L30" s="418"/>
      <c r="P30" s="465"/>
    </row>
    <row r="31" spans="1:22" ht="23.15" customHeight="1" x14ac:dyDescent="0.25">
      <c r="A31" s="1074" t="s">
        <v>126</v>
      </c>
      <c r="B31" s="1074"/>
      <c r="C31" s="1074"/>
      <c r="D31" s="1074"/>
      <c r="E31" s="1074"/>
      <c r="F31" s="1074"/>
      <c r="P31" s="54"/>
    </row>
    <row r="32" spans="1:22" ht="12.5" x14ac:dyDescent="0.2">
      <c r="A32" s="97"/>
      <c r="F32" s="791"/>
      <c r="G32" s="791"/>
      <c r="H32" s="791"/>
      <c r="K32" s="791"/>
    </row>
    <row r="33" spans="1:13" x14ac:dyDescent="0.2">
      <c r="A33" s="3" t="s">
        <v>829</v>
      </c>
      <c r="B33" s="17"/>
      <c r="C33" s="17"/>
      <c r="D33" s="17"/>
      <c r="E33" s="137"/>
      <c r="F33" s="792"/>
      <c r="G33" s="792"/>
      <c r="H33" s="792"/>
      <c r="K33" s="792"/>
    </row>
    <row r="34" spans="1:13" ht="10.5" hidden="1" x14ac:dyDescent="0.25">
      <c r="A34" s="5"/>
      <c r="B34" s="110"/>
      <c r="C34" s="110"/>
      <c r="D34" s="459">
        <v>2019</v>
      </c>
      <c r="E34" s="462">
        <v>2020</v>
      </c>
      <c r="F34" s="165">
        <v>2020</v>
      </c>
      <c r="G34" s="165">
        <v>2021</v>
      </c>
      <c r="H34" s="267">
        <v>2022</v>
      </c>
      <c r="I34" s="1064">
        <v>2023</v>
      </c>
      <c r="J34" s="1065"/>
      <c r="K34" s="375"/>
      <c r="L34" s="1066">
        <v>2024</v>
      </c>
      <c r="M34" s="1067"/>
    </row>
    <row r="35" spans="1:13" ht="21" hidden="1" x14ac:dyDescent="0.25">
      <c r="A35" s="106"/>
      <c r="B35" s="138"/>
      <c r="C35" s="138"/>
      <c r="D35" s="454" t="s">
        <v>58</v>
      </c>
      <c r="E35" s="463" t="s">
        <v>51</v>
      </c>
      <c r="F35" s="455" t="s">
        <v>118</v>
      </c>
      <c r="G35" s="455" t="s">
        <v>118</v>
      </c>
      <c r="H35" s="456" t="s">
        <v>118</v>
      </c>
      <c r="I35" s="1068" t="s">
        <v>51</v>
      </c>
      <c r="J35" s="1069"/>
      <c r="K35" s="560"/>
      <c r="L35" s="1070" t="s">
        <v>753</v>
      </c>
      <c r="M35" s="1071"/>
    </row>
    <row r="36" spans="1:13" ht="12.5" hidden="1" x14ac:dyDescent="0.25">
      <c r="A36" s="468" t="s">
        <v>810</v>
      </c>
      <c r="B36" s="110"/>
      <c r="C36" s="110"/>
      <c r="D36" s="110"/>
      <c r="E36" s="464">
        <f>E6/D6-1</f>
        <v>1.6926274931821306E-2</v>
      </c>
      <c r="F36" s="464">
        <f>F6/D6-1</f>
        <v>8.0752197127523129E-2</v>
      </c>
      <c r="G36" s="464">
        <f>G6/F6-1</f>
        <v>1.8425375103190422E-2</v>
      </c>
      <c r="H36" s="464">
        <f>H6/G6-1</f>
        <v>4.4663897849013035E-2</v>
      </c>
      <c r="I36" s="465">
        <f>I6/H6-1</f>
        <v>-2.4797867383402616E-3</v>
      </c>
      <c r="L36" s="465">
        <f>L6/I6-1</f>
        <v>5.3836885503896204E-2</v>
      </c>
    </row>
    <row r="37" spans="1:13" ht="13" hidden="1" x14ac:dyDescent="0.3">
      <c r="A37" s="468" t="s">
        <v>811</v>
      </c>
      <c r="B37" s="110"/>
      <c r="C37" s="110"/>
      <c r="D37" s="110"/>
      <c r="E37" s="139"/>
      <c r="F37" s="470">
        <f>F36-F43</f>
        <v>7.5752197127523124E-2</v>
      </c>
      <c r="G37" s="470">
        <f>G36-G43</f>
        <v>2.4253751031904219E-3</v>
      </c>
      <c r="H37" s="470">
        <f>H36-H43</f>
        <v>-7.3361021509869631E-3</v>
      </c>
      <c r="I37" s="470">
        <f>I36-I43</f>
        <v>-5.9479786738340264E-2</v>
      </c>
      <c r="J37" s="1"/>
      <c r="K37" s="1"/>
      <c r="L37" s="470">
        <f>L36-L43</f>
        <v>2.9836885503896203E-2</v>
      </c>
    </row>
    <row r="38" spans="1:13" ht="21" hidden="1" x14ac:dyDescent="0.2">
      <c r="A38" s="5"/>
      <c r="B38" s="110"/>
      <c r="C38" s="110"/>
      <c r="D38" s="74">
        <v>2019</v>
      </c>
      <c r="E38" s="337">
        <v>2020</v>
      </c>
      <c r="F38" s="461">
        <v>2020</v>
      </c>
      <c r="G38" s="460">
        <v>2021</v>
      </c>
      <c r="H38" s="460">
        <v>2022</v>
      </c>
      <c r="I38" s="1072">
        <v>2023</v>
      </c>
      <c r="J38" s="1073"/>
      <c r="K38" s="485"/>
      <c r="L38" s="340" t="s">
        <v>741</v>
      </c>
      <c r="M38" s="356" t="s">
        <v>741</v>
      </c>
    </row>
    <row r="39" spans="1:13" ht="42" hidden="1" x14ac:dyDescent="0.25">
      <c r="A39" s="5"/>
      <c r="B39" s="110"/>
      <c r="C39" s="110"/>
      <c r="D39" s="30" t="s">
        <v>58</v>
      </c>
      <c r="E39" s="339" t="s">
        <v>63</v>
      </c>
      <c r="F39" s="130" t="s">
        <v>58</v>
      </c>
      <c r="G39" s="308" t="s">
        <v>58</v>
      </c>
      <c r="H39" s="308" t="s">
        <v>58</v>
      </c>
      <c r="I39" s="308" t="s">
        <v>58</v>
      </c>
      <c r="J39" s="319"/>
      <c r="K39" s="319"/>
      <c r="L39" s="130" t="s">
        <v>731</v>
      </c>
      <c r="M39" s="424" t="s">
        <v>754</v>
      </c>
    </row>
    <row r="40" spans="1:13" hidden="1" x14ac:dyDescent="0.2">
      <c r="A40" s="468" t="s">
        <v>796</v>
      </c>
      <c r="C40" s="466"/>
      <c r="D40" s="466">
        <v>1.2999999999999999E-2</v>
      </c>
      <c r="E40" s="466"/>
      <c r="F40" s="466">
        <v>0.18388747917410186</v>
      </c>
      <c r="G40" s="466">
        <v>3.0367502575325389E-2</v>
      </c>
      <c r="H40" s="467">
        <v>3.8264617828774661E-2</v>
      </c>
      <c r="I40" s="467">
        <v>2.5734224010728779E-2</v>
      </c>
      <c r="L40" s="467">
        <v>-1.665220763944375E-2</v>
      </c>
      <c r="M40" s="467"/>
    </row>
    <row r="41" spans="1:13" ht="10.5" hidden="1" x14ac:dyDescent="0.25">
      <c r="A41" s="468" t="s">
        <v>797</v>
      </c>
      <c r="C41" s="466"/>
      <c r="D41" s="466">
        <v>2E-3</v>
      </c>
      <c r="E41" s="466"/>
      <c r="F41" s="471">
        <v>0.17888747917410186</v>
      </c>
      <c r="G41" s="471">
        <v>1.4367502575325389E-2</v>
      </c>
      <c r="H41" s="472">
        <v>-1.3735382171225337E-2</v>
      </c>
      <c r="I41" s="472">
        <v>-3.1265775989271223E-2</v>
      </c>
      <c r="J41" s="1"/>
      <c r="K41" s="1"/>
      <c r="L41" s="472">
        <v>-4.0652207639443751E-2</v>
      </c>
      <c r="M41" s="467"/>
    </row>
    <row r="42" spans="1:13" x14ac:dyDescent="0.2">
      <c r="A42" s="5"/>
      <c r="B42" s="110"/>
      <c r="C42" s="110"/>
      <c r="D42" s="110"/>
      <c r="E42" s="137"/>
      <c r="F42" s="110"/>
      <c r="G42" s="110"/>
    </row>
    <row r="43" spans="1:13" hidden="1" x14ac:dyDescent="0.2">
      <c r="A43" s="142" t="s">
        <v>139</v>
      </c>
      <c r="B43" s="469"/>
      <c r="C43" s="469"/>
      <c r="D43" s="112">
        <v>1.0999999999999999E-2</v>
      </c>
      <c r="E43" s="338">
        <v>5.0000000000000001E-3</v>
      </c>
      <c r="F43" s="134">
        <v>5.0000000000000001E-3</v>
      </c>
      <c r="G43" s="112">
        <v>1.6E-2</v>
      </c>
      <c r="H43" s="312">
        <v>5.1999999999999998E-2</v>
      </c>
      <c r="I43" s="323">
        <v>5.7000000000000002E-2</v>
      </c>
      <c r="J43" s="313"/>
      <c r="K43" s="313"/>
      <c r="L43" s="336">
        <v>2.4E-2</v>
      </c>
    </row>
    <row r="44" spans="1:13" x14ac:dyDescent="0.2">
      <c r="A44" s="5"/>
      <c r="B44" s="110"/>
      <c r="C44" s="110"/>
      <c r="D44" s="110"/>
      <c r="E44" s="140"/>
      <c r="F44" s="110"/>
      <c r="G44" s="110"/>
    </row>
    <row r="45" spans="1:13" x14ac:dyDescent="0.2">
      <c r="A45" s="5"/>
      <c r="B45" s="110"/>
      <c r="C45" s="110"/>
      <c r="D45" s="110"/>
      <c r="E45" s="140"/>
      <c r="F45" s="110"/>
      <c r="G45" s="110"/>
    </row>
    <row r="46" spans="1:13" ht="10.5" x14ac:dyDescent="0.25">
      <c r="A46" s="5"/>
      <c r="B46" s="110"/>
      <c r="C46" s="110"/>
      <c r="D46" s="110"/>
      <c r="E46" s="139"/>
      <c r="F46" s="138"/>
      <c r="G46" s="138"/>
    </row>
    <row r="47" spans="1:13" ht="10.5" x14ac:dyDescent="0.25">
      <c r="A47" s="106"/>
      <c r="B47" s="138"/>
      <c r="C47" s="138"/>
      <c r="D47" s="138"/>
      <c r="E47" s="139"/>
      <c r="F47" s="138"/>
      <c r="G47" s="138"/>
    </row>
    <row r="48" spans="1:13" x14ac:dyDescent="0.2">
      <c r="A48" s="5"/>
      <c r="B48" s="110"/>
      <c r="C48" s="110"/>
      <c r="D48" s="110"/>
      <c r="E48" s="137"/>
      <c r="F48" s="110"/>
      <c r="G48" s="110"/>
    </row>
    <row r="49" spans="1:7" x14ac:dyDescent="0.2">
      <c r="A49" s="5"/>
      <c r="B49" s="110"/>
      <c r="C49" s="110"/>
      <c r="D49" s="110"/>
      <c r="E49" s="137"/>
      <c r="F49" s="110"/>
      <c r="G49" s="110"/>
    </row>
    <row r="50" spans="1:7" x14ac:dyDescent="0.2">
      <c r="A50" s="5"/>
      <c r="B50" s="110"/>
      <c r="C50" s="110"/>
      <c r="D50" s="110"/>
      <c r="E50" s="137"/>
      <c r="F50" s="110"/>
      <c r="G50" s="110"/>
    </row>
    <row r="51" spans="1:7" ht="10.5" x14ac:dyDescent="0.25">
      <c r="A51" s="5"/>
      <c r="B51" s="110"/>
      <c r="C51" s="110"/>
      <c r="D51" s="110"/>
      <c r="E51" s="139"/>
      <c r="F51" s="138"/>
      <c r="G51" s="138"/>
    </row>
    <row r="52" spans="1:7" ht="10.5" x14ac:dyDescent="0.25">
      <c r="A52" s="5"/>
      <c r="B52" s="110"/>
      <c r="C52" s="110"/>
      <c r="D52" s="110"/>
      <c r="E52" s="139"/>
      <c r="F52" s="138"/>
      <c r="G52" s="138"/>
    </row>
    <row r="53" spans="1:7" ht="10.5" x14ac:dyDescent="0.25">
      <c r="A53" s="5"/>
      <c r="B53" s="110"/>
      <c r="C53" s="110"/>
      <c r="D53" s="110"/>
      <c r="E53" s="139"/>
      <c r="F53" s="138"/>
      <c r="G53" s="138"/>
    </row>
    <row r="54" spans="1:7" x14ac:dyDescent="0.2">
      <c r="A54" s="5"/>
      <c r="B54" s="110"/>
      <c r="C54" s="110"/>
      <c r="D54" s="110"/>
      <c r="E54" s="137"/>
      <c r="F54" s="110"/>
      <c r="G54" s="110"/>
    </row>
    <row r="55" spans="1:7" ht="10.5" x14ac:dyDescent="0.25">
      <c r="A55" s="106"/>
      <c r="B55" s="138"/>
      <c r="C55" s="138"/>
      <c r="D55" s="138"/>
      <c r="E55" s="139"/>
      <c r="F55" s="138"/>
      <c r="G55" s="138"/>
    </row>
    <row r="56" spans="1:7" ht="10.5" x14ac:dyDescent="0.25">
      <c r="A56" s="5"/>
      <c r="B56" s="110"/>
      <c r="C56" s="110"/>
      <c r="D56" s="110"/>
      <c r="E56" s="139"/>
      <c r="F56" s="138"/>
      <c r="G56" s="138"/>
    </row>
    <row r="57" spans="1:7" x14ac:dyDescent="0.2">
      <c r="A57" s="5"/>
      <c r="B57" s="110"/>
      <c r="C57" s="110"/>
      <c r="D57" s="110"/>
      <c r="E57" s="5"/>
      <c r="F57" s="110"/>
      <c r="G57" s="110"/>
    </row>
    <row r="58" spans="1:7" ht="10.5" x14ac:dyDescent="0.25">
      <c r="A58" s="106"/>
      <c r="B58" s="138"/>
      <c r="C58" s="138"/>
      <c r="D58" s="138"/>
      <c r="E58" s="5"/>
      <c r="F58" s="5"/>
      <c r="G58" s="5"/>
    </row>
    <row r="59" spans="1:7" x14ac:dyDescent="0.2">
      <c r="A59" s="5"/>
      <c r="B59" s="110"/>
      <c r="C59" s="110"/>
      <c r="D59" s="110"/>
      <c r="E59" s="5"/>
      <c r="F59" s="5"/>
      <c r="G59" s="5"/>
    </row>
    <row r="60" spans="1:7" x14ac:dyDescent="0.2">
      <c r="A60" s="5"/>
      <c r="B60" s="110"/>
      <c r="C60" s="110"/>
      <c r="D60" s="110"/>
      <c r="E60" s="5"/>
      <c r="F60" s="5"/>
      <c r="G60" s="5"/>
    </row>
    <row r="61" spans="1:7" x14ac:dyDescent="0.2">
      <c r="A61" s="5"/>
      <c r="B61" s="110"/>
      <c r="C61" s="110"/>
      <c r="D61" s="110"/>
      <c r="E61" s="5"/>
      <c r="F61" s="5"/>
      <c r="G61" s="5"/>
    </row>
    <row r="62" spans="1:7" ht="10.5" x14ac:dyDescent="0.25">
      <c r="A62" s="106"/>
      <c r="B62" s="138"/>
      <c r="C62" s="138"/>
      <c r="D62" s="138"/>
      <c r="E62" s="5"/>
      <c r="F62" s="5"/>
      <c r="G62" s="5"/>
    </row>
    <row r="63" spans="1:7" x14ac:dyDescent="0.2">
      <c r="A63" s="5"/>
      <c r="B63" s="110"/>
      <c r="C63" s="110"/>
      <c r="D63" s="110"/>
      <c r="E63" s="5"/>
      <c r="F63" s="5"/>
      <c r="G63" s="5"/>
    </row>
    <row r="64" spans="1:7" ht="10.5" x14ac:dyDescent="0.25">
      <c r="A64" s="106"/>
      <c r="B64" s="138"/>
      <c r="C64" s="138"/>
      <c r="D64" s="138"/>
      <c r="E64" s="5"/>
      <c r="F64" s="5"/>
      <c r="G64" s="5"/>
    </row>
    <row r="65" spans="1:7" x14ac:dyDescent="0.2">
      <c r="A65" s="5"/>
      <c r="B65" s="110"/>
      <c r="C65" s="110"/>
      <c r="D65" s="110"/>
      <c r="E65" s="5"/>
      <c r="F65" s="5"/>
      <c r="G65" s="5"/>
    </row>
    <row r="66" spans="1:7" x14ac:dyDescent="0.2">
      <c r="A66" s="5"/>
      <c r="B66" s="110"/>
      <c r="C66" s="110"/>
      <c r="D66" s="110"/>
      <c r="E66" s="5"/>
      <c r="F66" s="5"/>
      <c r="G66" s="5"/>
    </row>
    <row r="67" spans="1:7" x14ac:dyDescent="0.2">
      <c r="A67" s="5"/>
      <c r="B67" s="110"/>
      <c r="C67" s="110"/>
      <c r="D67" s="110"/>
      <c r="E67" s="5"/>
      <c r="F67" s="5"/>
      <c r="G67" s="5"/>
    </row>
    <row r="68" spans="1:7" ht="10.5" x14ac:dyDescent="0.25">
      <c r="A68" s="106"/>
      <c r="B68" s="138"/>
      <c r="C68" s="138"/>
      <c r="D68" s="138"/>
      <c r="E68" s="5"/>
      <c r="F68" s="5"/>
      <c r="G68" s="5"/>
    </row>
    <row r="69" spans="1:7" x14ac:dyDescent="0.2">
      <c r="A69" s="5"/>
      <c r="B69" s="110"/>
      <c r="C69" s="110"/>
      <c r="D69" s="110"/>
      <c r="E69" s="5"/>
      <c r="F69" s="5"/>
      <c r="G69" s="5"/>
    </row>
    <row r="70" spans="1:7" ht="10.5" x14ac:dyDescent="0.25">
      <c r="A70" s="106"/>
      <c r="B70" s="138"/>
      <c r="C70" s="138"/>
      <c r="D70" s="138"/>
      <c r="E70" s="5"/>
      <c r="F70" s="5"/>
      <c r="G70" s="5"/>
    </row>
    <row r="71" spans="1:7" x14ac:dyDescent="0.2">
      <c r="A71" s="5"/>
      <c r="B71" s="110"/>
      <c r="C71" s="110"/>
      <c r="D71" s="110"/>
      <c r="E71" s="5"/>
      <c r="F71" s="5"/>
      <c r="G71" s="5"/>
    </row>
    <row r="72" spans="1:7" x14ac:dyDescent="0.2">
      <c r="A72" s="5"/>
      <c r="B72" s="110"/>
      <c r="C72" s="110"/>
      <c r="D72" s="110"/>
      <c r="E72" s="5"/>
      <c r="F72" s="5"/>
      <c r="G72" s="5"/>
    </row>
    <row r="73" spans="1:7" ht="10.5" x14ac:dyDescent="0.25">
      <c r="A73" s="106"/>
      <c r="B73" s="138"/>
      <c r="C73" s="138"/>
      <c r="D73" s="138"/>
      <c r="E73" s="5"/>
      <c r="F73" s="5"/>
      <c r="G73" s="5"/>
    </row>
    <row r="74" spans="1:7" x14ac:dyDescent="0.2">
      <c r="A74" s="5"/>
      <c r="B74" s="110"/>
      <c r="C74" s="110"/>
      <c r="D74" s="110"/>
      <c r="E74" s="5"/>
      <c r="F74" s="5"/>
      <c r="G74" s="5"/>
    </row>
    <row r="75" spans="1:7" x14ac:dyDescent="0.2">
      <c r="A75" s="5"/>
      <c r="B75" s="110"/>
      <c r="C75" s="110"/>
      <c r="D75" s="110"/>
      <c r="E75" s="5"/>
      <c r="F75" s="5"/>
      <c r="G75" s="5"/>
    </row>
    <row r="76" spans="1:7" x14ac:dyDescent="0.2">
      <c r="A76" s="5"/>
      <c r="B76" s="110"/>
      <c r="C76" s="110"/>
      <c r="D76" s="110"/>
      <c r="E76" s="5"/>
      <c r="F76" s="5"/>
      <c r="G76" s="5"/>
    </row>
  </sheetData>
  <customSheetViews>
    <customSheetView guid="{B5EA72E7-EF27-46AE-B0E4-CAECE2734832}" fitToPage="1">
      <selection activeCell="A38" sqref="A38"/>
      <pageMargins left="0.74791666666666701" right="0.74791666666666701" top="0.98402777777777795" bottom="0.98402777777777795" header="0.51180555555555496" footer="0.51180555555555496"/>
      <pageSetup paperSize="9" firstPageNumber="0" orientation="portrait" r:id="rId1"/>
    </customSheetView>
    <customSheetView guid="{D7C60D54-F168-4802-9C20-D9E241B3AC75}" fitToPage="1">
      <selection activeCell="A38" sqref="A38"/>
      <pageMargins left="0.74791666666666701" right="0.74791666666666701" top="0.98402777777777795" bottom="0.98402777777777795" header="0.51180555555555496" footer="0.51180555555555496"/>
      <pageSetup paperSize="9" firstPageNumber="0" orientation="portrait" r:id="rId2"/>
    </customSheetView>
    <customSheetView guid="{D4A8130B-E15E-430B-BC62-FA365B34E0AF}" fitToPage="1">
      <selection activeCell="E15" sqref="E15"/>
      <pageMargins left="0.74791666666666701" right="0.74791666666666701" top="0.98402777777777795" bottom="0.98402777777777795" header="0.51180555555555496" footer="0.51180555555555496"/>
      <pageSetup paperSize="9" firstPageNumber="0" orientation="portrait" verticalDpi="0" r:id="rId3"/>
    </customSheetView>
    <customSheetView guid="{EF36F323-8F00-4DED-B12A-4D51E72FA301}" fitToPage="1">
      <pageMargins left="0.74791666666666701" right="0.74791666666666701" top="0.98402777777777795" bottom="0.98402777777777795" header="0.51180555555555496" footer="0.51180555555555496"/>
      <pageSetup paperSize="9" firstPageNumber="0" orientation="portrait" r:id="rId4"/>
    </customSheetView>
    <customSheetView guid="{A4014A12-8077-400D-909C-C8C0AE2652D2}" fitToPage="1">
      <selection activeCell="A3" sqref="A3"/>
      <pageMargins left="0.74791666666666701" right="0.74791666666666701" top="0.98402777777777795" bottom="0.98402777777777795" header="0.51180555555555496" footer="0.51180555555555496"/>
      <pageSetup paperSize="9" firstPageNumber="0" orientation="portrait" verticalDpi="0" r:id="rId5"/>
    </customSheetView>
    <customSheetView guid="{254CA843-A8D1-434E-AB9C-F327B1D1E748}" fitToPage="1">
      <pageMargins left="0.74791666666666701" right="0.74791666666666701" top="0.98402777777777795" bottom="0.98402777777777795" header="0.51180555555555496" footer="0.51180555555555496"/>
      <pageSetup paperSize="9" firstPageNumber="0" orientation="portrait" r:id="rId6"/>
    </customSheetView>
  </customSheetViews>
  <mergeCells count="16">
    <mergeCell ref="N4:O4"/>
    <mergeCell ref="N5:O5"/>
    <mergeCell ref="Q4:R4"/>
    <mergeCell ref="Q5:R5"/>
    <mergeCell ref="S4:T4"/>
    <mergeCell ref="S5:T5"/>
    <mergeCell ref="A31:F31"/>
    <mergeCell ref="I4:J4"/>
    <mergeCell ref="I5:J5"/>
    <mergeCell ref="L4:M4"/>
    <mergeCell ref="L5:M5"/>
    <mergeCell ref="I34:J34"/>
    <mergeCell ref="L34:M34"/>
    <mergeCell ref="I35:J35"/>
    <mergeCell ref="L35:M35"/>
    <mergeCell ref="I38:J38"/>
  </mergeCells>
  <pageMargins left="0.74791666666666701" right="0.74791666666666701" top="0.98402777777777795" bottom="0.98402777777777795" header="0.51180555555555496" footer="0.51180555555555496"/>
  <pageSetup paperSize="9" scale="50" firstPageNumber="0" orientation="portrait" r:id="rId7"/>
  <headerFooter>
    <oddFooter>&amp;C&amp;1#&amp;"Calibri"&amp;12&amp;K008000C1 Données Internes</oddFooter>
  </headerFooter>
  <legacy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25"/>
  <sheetViews>
    <sheetView topLeftCell="A10" workbookViewId="0">
      <selection activeCell="A78" sqref="A78"/>
    </sheetView>
  </sheetViews>
  <sheetFormatPr baseColWidth="10" defaultRowHeight="12.5" x14ac:dyDescent="0.25"/>
  <cols>
    <col min="1" max="1" width="167.453125" bestFit="1" customWidth="1"/>
  </cols>
  <sheetData>
    <row r="1" spans="1:3" ht="37.5" x14ac:dyDescent="0.25">
      <c r="A1" s="190" t="s">
        <v>537</v>
      </c>
    </row>
    <row r="3" spans="1:3" ht="13" x14ac:dyDescent="0.3">
      <c r="A3" s="184" t="s">
        <v>141</v>
      </c>
      <c r="C3" s="184" t="s">
        <v>141</v>
      </c>
    </row>
    <row r="4" spans="1:3" ht="13" x14ac:dyDescent="0.3">
      <c r="A4" s="184" t="s">
        <v>143</v>
      </c>
      <c r="C4" t="s">
        <v>383</v>
      </c>
    </row>
    <row r="5" spans="1:3" ht="13" x14ac:dyDescent="0.3">
      <c r="A5" s="184" t="s">
        <v>145</v>
      </c>
      <c r="C5" t="s">
        <v>384</v>
      </c>
    </row>
    <row r="6" spans="1:3" ht="13" x14ac:dyDescent="0.3">
      <c r="A6" s="184" t="s">
        <v>148</v>
      </c>
      <c r="C6" t="s">
        <v>385</v>
      </c>
    </row>
    <row r="7" spans="1:3" ht="13" x14ac:dyDescent="0.3">
      <c r="A7" s="184" t="s">
        <v>153</v>
      </c>
      <c r="C7" s="185" t="s">
        <v>142</v>
      </c>
    </row>
    <row r="8" spans="1:3" ht="13" x14ac:dyDescent="0.3">
      <c r="A8" s="184" t="s">
        <v>156</v>
      </c>
    </row>
    <row r="9" spans="1:3" ht="13" x14ac:dyDescent="0.3">
      <c r="A9" s="184" t="s">
        <v>161</v>
      </c>
      <c r="C9" s="184" t="s">
        <v>143</v>
      </c>
    </row>
    <row r="10" spans="1:3" ht="13" x14ac:dyDescent="0.3">
      <c r="A10" s="184" t="s">
        <v>164</v>
      </c>
      <c r="C10" s="185" t="s">
        <v>144</v>
      </c>
    </row>
    <row r="11" spans="1:3" ht="13" x14ac:dyDescent="0.3">
      <c r="A11" s="191" t="s">
        <v>168</v>
      </c>
    </row>
    <row r="12" spans="1:3" ht="13" x14ac:dyDescent="0.3">
      <c r="A12" s="184" t="s">
        <v>171</v>
      </c>
      <c r="C12" s="184" t="s">
        <v>145</v>
      </c>
    </row>
    <row r="13" spans="1:3" ht="13" x14ac:dyDescent="0.3">
      <c r="A13" s="184" t="s">
        <v>175</v>
      </c>
      <c r="C13" t="s">
        <v>386</v>
      </c>
    </row>
    <row r="14" spans="1:3" ht="13" x14ac:dyDescent="0.3">
      <c r="A14" s="184" t="s">
        <v>178</v>
      </c>
      <c r="C14" t="s">
        <v>146</v>
      </c>
    </row>
    <row r="15" spans="1:3" ht="13" x14ac:dyDescent="0.3">
      <c r="A15" s="184" t="s">
        <v>181</v>
      </c>
      <c r="C15" t="s">
        <v>387</v>
      </c>
    </row>
    <row r="16" spans="1:3" ht="13" x14ac:dyDescent="0.3">
      <c r="A16" s="184" t="s">
        <v>183</v>
      </c>
      <c r="C16" s="185" t="s">
        <v>147</v>
      </c>
    </row>
    <row r="17" spans="1:3" ht="13" x14ac:dyDescent="0.3">
      <c r="A17" s="192" t="s">
        <v>187</v>
      </c>
    </row>
    <row r="18" spans="1:3" ht="13" x14ac:dyDescent="0.3">
      <c r="A18" s="191" t="s">
        <v>191</v>
      </c>
      <c r="C18" s="184" t="s">
        <v>148</v>
      </c>
    </row>
    <row r="19" spans="1:3" ht="13" x14ac:dyDescent="0.3">
      <c r="A19" s="184" t="s">
        <v>194</v>
      </c>
      <c r="C19" t="s">
        <v>149</v>
      </c>
    </row>
    <row r="20" spans="1:3" ht="13" x14ac:dyDescent="0.3">
      <c r="A20" s="184" t="s">
        <v>197</v>
      </c>
      <c r="C20" t="s">
        <v>150</v>
      </c>
    </row>
    <row r="21" spans="1:3" ht="13" x14ac:dyDescent="0.3">
      <c r="A21" s="184" t="s">
        <v>201</v>
      </c>
      <c r="C21" t="s">
        <v>151</v>
      </c>
    </row>
    <row r="22" spans="1:3" ht="13" x14ac:dyDescent="0.3">
      <c r="A22" s="184" t="s">
        <v>204</v>
      </c>
      <c r="C22" t="s">
        <v>388</v>
      </c>
    </row>
    <row r="23" spans="1:3" ht="13" x14ac:dyDescent="0.3">
      <c r="A23" s="184" t="s">
        <v>208</v>
      </c>
      <c r="C23" s="185" t="s">
        <v>152</v>
      </c>
    </row>
    <row r="24" spans="1:3" ht="13" x14ac:dyDescent="0.3">
      <c r="A24" s="191" t="s">
        <v>211</v>
      </c>
    </row>
    <row r="25" spans="1:3" ht="13" x14ac:dyDescent="0.3">
      <c r="A25" s="184" t="s">
        <v>220</v>
      </c>
      <c r="C25" s="184" t="s">
        <v>153</v>
      </c>
    </row>
    <row r="26" spans="1:3" ht="13" x14ac:dyDescent="0.3">
      <c r="A26" s="184" t="s">
        <v>223</v>
      </c>
      <c r="C26" t="s">
        <v>154</v>
      </c>
    </row>
    <row r="27" spans="1:3" ht="13" x14ac:dyDescent="0.3">
      <c r="A27" s="184" t="s">
        <v>227</v>
      </c>
      <c r="C27" t="s">
        <v>389</v>
      </c>
    </row>
    <row r="28" spans="1:3" ht="13" x14ac:dyDescent="0.3">
      <c r="A28" s="184" t="s">
        <v>73</v>
      </c>
      <c r="C28" t="s">
        <v>390</v>
      </c>
    </row>
    <row r="29" spans="1:3" ht="13" x14ac:dyDescent="0.3">
      <c r="A29" s="184" t="s">
        <v>232</v>
      </c>
      <c r="C29" s="185" t="s">
        <v>155</v>
      </c>
    </row>
    <row r="30" spans="1:3" ht="13" x14ac:dyDescent="0.3">
      <c r="A30" s="184" t="s">
        <v>236</v>
      </c>
    </row>
    <row r="31" spans="1:3" ht="13" x14ac:dyDescent="0.3">
      <c r="A31" s="184" t="s">
        <v>242</v>
      </c>
      <c r="C31" s="184" t="s">
        <v>156</v>
      </c>
    </row>
    <row r="32" spans="1:3" ht="13" x14ac:dyDescent="0.3">
      <c r="A32" s="184" t="s">
        <v>246</v>
      </c>
      <c r="C32" t="s">
        <v>157</v>
      </c>
    </row>
    <row r="33" spans="1:3" ht="13" x14ac:dyDescent="0.3">
      <c r="A33" s="191" t="s">
        <v>249</v>
      </c>
      <c r="C33" t="s">
        <v>158</v>
      </c>
    </row>
    <row r="34" spans="1:3" ht="13" x14ac:dyDescent="0.3">
      <c r="A34" s="184" t="s">
        <v>252</v>
      </c>
      <c r="C34" t="s">
        <v>159</v>
      </c>
    </row>
    <row r="35" spans="1:3" x14ac:dyDescent="0.25">
      <c r="C35" t="s">
        <v>391</v>
      </c>
    </row>
    <row r="36" spans="1:3" ht="23" x14ac:dyDescent="0.25">
      <c r="A36" s="189" t="s">
        <v>538</v>
      </c>
      <c r="C36" s="185" t="s">
        <v>160</v>
      </c>
    </row>
    <row r="38" spans="1:3" ht="13" x14ac:dyDescent="0.3">
      <c r="A38" s="184" t="s">
        <v>255</v>
      </c>
      <c r="C38" s="184" t="s">
        <v>161</v>
      </c>
    </row>
    <row r="39" spans="1:3" ht="13" x14ac:dyDescent="0.3">
      <c r="A39" s="184" t="s">
        <v>258</v>
      </c>
      <c r="C39" t="s">
        <v>162</v>
      </c>
    </row>
    <row r="40" spans="1:3" ht="13" x14ac:dyDescent="0.3">
      <c r="A40" s="184" t="s">
        <v>260</v>
      </c>
      <c r="C40" t="s">
        <v>392</v>
      </c>
    </row>
    <row r="41" spans="1:3" ht="13" x14ac:dyDescent="0.3">
      <c r="A41" s="184" t="s">
        <v>262</v>
      </c>
      <c r="C41" t="s">
        <v>393</v>
      </c>
    </row>
    <row r="42" spans="1:3" ht="13" x14ac:dyDescent="0.3">
      <c r="A42" s="184" t="s">
        <v>265</v>
      </c>
      <c r="C42" s="185" t="s">
        <v>163</v>
      </c>
    </row>
    <row r="43" spans="1:3" ht="13" x14ac:dyDescent="0.3">
      <c r="A43" s="184" t="s">
        <v>267</v>
      </c>
    </row>
    <row r="44" spans="1:3" ht="13" x14ac:dyDescent="0.3">
      <c r="A44" s="184" t="s">
        <v>271</v>
      </c>
      <c r="C44" s="184" t="s">
        <v>164</v>
      </c>
    </row>
    <row r="45" spans="1:3" ht="13" x14ac:dyDescent="0.3">
      <c r="A45" s="184" t="s">
        <v>273</v>
      </c>
      <c r="C45" t="s">
        <v>165</v>
      </c>
    </row>
    <row r="46" spans="1:3" ht="13" x14ac:dyDescent="0.3">
      <c r="A46" s="184" t="s">
        <v>275</v>
      </c>
      <c r="C46" t="s">
        <v>166</v>
      </c>
    </row>
    <row r="47" spans="1:3" ht="13" x14ac:dyDescent="0.3">
      <c r="A47" s="184" t="s">
        <v>277</v>
      </c>
      <c r="C47" t="s">
        <v>394</v>
      </c>
    </row>
    <row r="48" spans="1:3" ht="13" x14ac:dyDescent="0.3">
      <c r="A48" s="184" t="s">
        <v>280</v>
      </c>
      <c r="C48" t="s">
        <v>395</v>
      </c>
    </row>
    <row r="49" spans="1:3" ht="13" x14ac:dyDescent="0.3">
      <c r="A49" s="184" t="s">
        <v>282</v>
      </c>
      <c r="C49" s="185" t="s">
        <v>167</v>
      </c>
    </row>
    <row r="50" spans="1:3" ht="13" x14ac:dyDescent="0.3">
      <c r="A50" s="184" t="s">
        <v>284</v>
      </c>
    </row>
    <row r="51" spans="1:3" ht="13" x14ac:dyDescent="0.3">
      <c r="A51" s="184" t="s">
        <v>287</v>
      </c>
      <c r="C51" s="184" t="s">
        <v>168</v>
      </c>
    </row>
    <row r="52" spans="1:3" ht="13" x14ac:dyDescent="0.3">
      <c r="A52" s="184" t="s">
        <v>289</v>
      </c>
      <c r="C52" t="s">
        <v>169</v>
      </c>
    </row>
    <row r="53" spans="1:3" ht="13" x14ac:dyDescent="0.3">
      <c r="A53" s="184" t="s">
        <v>292</v>
      </c>
      <c r="C53" t="s">
        <v>396</v>
      </c>
    </row>
    <row r="54" spans="1:3" ht="13" x14ac:dyDescent="0.3">
      <c r="A54" s="184" t="s">
        <v>294</v>
      </c>
      <c r="C54" s="185" t="s">
        <v>170</v>
      </c>
    </row>
    <row r="55" spans="1:3" ht="13" x14ac:dyDescent="0.3">
      <c r="A55" s="184" t="s">
        <v>297</v>
      </c>
    </row>
    <row r="56" spans="1:3" ht="13" x14ac:dyDescent="0.3">
      <c r="A56" s="184" t="s">
        <v>300</v>
      </c>
      <c r="C56" s="184" t="s">
        <v>171</v>
      </c>
    </row>
    <row r="57" spans="1:3" ht="13" x14ac:dyDescent="0.3">
      <c r="A57" s="184" t="s">
        <v>304</v>
      </c>
      <c r="C57" t="s">
        <v>172</v>
      </c>
    </row>
    <row r="58" spans="1:3" x14ac:dyDescent="0.25">
      <c r="C58" t="s">
        <v>173</v>
      </c>
    </row>
    <row r="59" spans="1:3" ht="23" x14ac:dyDescent="0.25">
      <c r="A59" s="189" t="s">
        <v>539</v>
      </c>
      <c r="C59" t="s">
        <v>397</v>
      </c>
    </row>
    <row r="60" spans="1:3" x14ac:dyDescent="0.25">
      <c r="C60" s="185" t="s">
        <v>174</v>
      </c>
    </row>
    <row r="61" spans="1:3" ht="13" x14ac:dyDescent="0.3">
      <c r="A61" s="184" t="s">
        <v>307</v>
      </c>
    </row>
    <row r="62" spans="1:3" ht="13" x14ac:dyDescent="0.3">
      <c r="A62" s="184" t="s">
        <v>310</v>
      </c>
      <c r="C62" s="184" t="s">
        <v>175</v>
      </c>
    </row>
    <row r="63" spans="1:3" ht="13" x14ac:dyDescent="0.3">
      <c r="A63" s="184" t="s">
        <v>313</v>
      </c>
      <c r="C63" t="s">
        <v>398</v>
      </c>
    </row>
    <row r="64" spans="1:3" ht="13" x14ac:dyDescent="0.3">
      <c r="A64" s="184" t="s">
        <v>316</v>
      </c>
      <c r="C64" t="s">
        <v>176</v>
      </c>
    </row>
    <row r="65" spans="1:3" ht="13" x14ac:dyDescent="0.3">
      <c r="A65" s="184" t="s">
        <v>318</v>
      </c>
      <c r="C65" t="s">
        <v>399</v>
      </c>
    </row>
    <row r="66" spans="1:3" x14ac:dyDescent="0.25">
      <c r="C66" s="185" t="s">
        <v>177</v>
      </c>
    </row>
    <row r="67" spans="1:3" ht="23" x14ac:dyDescent="0.25">
      <c r="A67" s="189" t="s">
        <v>321</v>
      </c>
    </row>
    <row r="68" spans="1:3" ht="13" x14ac:dyDescent="0.3">
      <c r="C68" s="184" t="s">
        <v>178</v>
      </c>
    </row>
    <row r="69" spans="1:3" ht="13" x14ac:dyDescent="0.3">
      <c r="A69" s="184" t="s">
        <v>322</v>
      </c>
      <c r="C69" t="s">
        <v>400</v>
      </c>
    </row>
    <row r="70" spans="1:3" x14ac:dyDescent="0.25">
      <c r="C70" t="s">
        <v>179</v>
      </c>
    </row>
    <row r="71" spans="1:3" ht="23" x14ac:dyDescent="0.25">
      <c r="A71" s="189" t="s">
        <v>324</v>
      </c>
      <c r="C71" t="s">
        <v>401</v>
      </c>
    </row>
    <row r="72" spans="1:3" x14ac:dyDescent="0.25">
      <c r="C72" s="185" t="s">
        <v>180</v>
      </c>
    </row>
    <row r="73" spans="1:3" ht="13" x14ac:dyDescent="0.3">
      <c r="A73" s="184" t="s">
        <v>325</v>
      </c>
    </row>
    <row r="74" spans="1:3" ht="13" x14ac:dyDescent="0.3">
      <c r="A74" s="184" t="s">
        <v>78</v>
      </c>
      <c r="C74" s="184" t="s">
        <v>181</v>
      </c>
    </row>
    <row r="75" spans="1:3" ht="13" x14ac:dyDescent="0.3">
      <c r="A75" s="184" t="s">
        <v>81</v>
      </c>
      <c r="C75" t="s">
        <v>402</v>
      </c>
    </row>
    <row r="76" spans="1:3" ht="13" x14ac:dyDescent="0.3">
      <c r="A76" s="184" t="s">
        <v>335</v>
      </c>
      <c r="C76" t="s">
        <v>403</v>
      </c>
    </row>
    <row r="77" spans="1:3" ht="13" x14ac:dyDescent="0.3">
      <c r="A77" s="184" t="s">
        <v>338</v>
      </c>
      <c r="C77" t="s">
        <v>404</v>
      </c>
    </row>
    <row r="78" spans="1:3" ht="13" x14ac:dyDescent="0.3">
      <c r="A78" s="191" t="s">
        <v>342</v>
      </c>
      <c r="C78" t="s">
        <v>405</v>
      </c>
    </row>
    <row r="79" spans="1:3" ht="13" x14ac:dyDescent="0.3">
      <c r="A79" s="184" t="s">
        <v>344</v>
      </c>
      <c r="C79" s="185" t="s">
        <v>182</v>
      </c>
    </row>
    <row r="80" spans="1:3" ht="13" x14ac:dyDescent="0.3">
      <c r="A80" s="191" t="s">
        <v>347</v>
      </c>
    </row>
    <row r="81" spans="1:3" ht="13" x14ac:dyDescent="0.3">
      <c r="A81" s="184" t="s">
        <v>351</v>
      </c>
      <c r="C81" s="184" t="s">
        <v>183</v>
      </c>
    </row>
    <row r="82" spans="1:3" ht="13" x14ac:dyDescent="0.3">
      <c r="A82" s="184" t="s">
        <v>354</v>
      </c>
      <c r="C82" t="s">
        <v>184</v>
      </c>
    </row>
    <row r="83" spans="1:3" ht="13" x14ac:dyDescent="0.3">
      <c r="A83" s="184" t="s">
        <v>84</v>
      </c>
      <c r="C83" t="s">
        <v>185</v>
      </c>
    </row>
    <row r="84" spans="1:3" ht="13" x14ac:dyDescent="0.3">
      <c r="A84" s="184" t="s">
        <v>360</v>
      </c>
      <c r="C84" t="s">
        <v>406</v>
      </c>
    </row>
    <row r="85" spans="1:3" ht="13" x14ac:dyDescent="0.3">
      <c r="A85" s="184" t="s">
        <v>364</v>
      </c>
      <c r="C85" t="s">
        <v>407</v>
      </c>
    </row>
    <row r="86" spans="1:3" ht="13" x14ac:dyDescent="0.3">
      <c r="A86" s="184" t="s">
        <v>367</v>
      </c>
      <c r="C86" s="185" t="s">
        <v>186</v>
      </c>
    </row>
    <row r="87" spans="1:3" ht="13" x14ac:dyDescent="0.3">
      <c r="A87" s="184" t="s">
        <v>370</v>
      </c>
    </row>
    <row r="88" spans="1:3" ht="13" x14ac:dyDescent="0.3">
      <c r="A88" s="184" t="s">
        <v>89</v>
      </c>
      <c r="C88" s="184" t="s">
        <v>187</v>
      </c>
    </row>
    <row r="89" spans="1:3" ht="13" x14ac:dyDescent="0.3">
      <c r="A89" s="184" t="s">
        <v>90</v>
      </c>
      <c r="C89" t="s">
        <v>188</v>
      </c>
    </row>
    <row r="90" spans="1:3" ht="13" x14ac:dyDescent="0.3">
      <c r="A90" s="184" t="s">
        <v>377</v>
      </c>
      <c r="C90" t="s">
        <v>189</v>
      </c>
    </row>
    <row r="91" spans="1:3" ht="13" x14ac:dyDescent="0.3">
      <c r="A91" s="184" t="s">
        <v>91</v>
      </c>
      <c r="C91" t="s">
        <v>408</v>
      </c>
    </row>
    <row r="92" spans="1:3" x14ac:dyDescent="0.25">
      <c r="C92" s="185" t="s">
        <v>190</v>
      </c>
    </row>
    <row r="94" spans="1:3" ht="13" x14ac:dyDescent="0.3">
      <c r="C94" s="184" t="s">
        <v>191</v>
      </c>
    </row>
    <row r="95" spans="1:3" x14ac:dyDescent="0.25">
      <c r="A95" s="185"/>
      <c r="C95" t="s">
        <v>409</v>
      </c>
    </row>
    <row r="96" spans="1:3" x14ac:dyDescent="0.25">
      <c r="C96" t="s">
        <v>192</v>
      </c>
    </row>
    <row r="97" spans="3:3" x14ac:dyDescent="0.25">
      <c r="C97" t="s">
        <v>410</v>
      </c>
    </row>
    <row r="98" spans="3:3" x14ac:dyDescent="0.25">
      <c r="C98" s="185" t="s">
        <v>193</v>
      </c>
    </row>
    <row r="100" spans="3:3" ht="13" x14ac:dyDescent="0.3">
      <c r="C100" s="184" t="s">
        <v>194</v>
      </c>
    </row>
    <row r="101" spans="3:3" x14ac:dyDescent="0.25">
      <c r="C101" t="s">
        <v>195</v>
      </c>
    </row>
    <row r="102" spans="3:3" x14ac:dyDescent="0.25">
      <c r="C102" t="s">
        <v>411</v>
      </c>
    </row>
    <row r="103" spans="3:3" x14ac:dyDescent="0.25">
      <c r="C103" t="s">
        <v>412</v>
      </c>
    </row>
    <row r="104" spans="3:3" x14ac:dyDescent="0.25">
      <c r="C104" s="185" t="s">
        <v>196</v>
      </c>
    </row>
    <row r="106" spans="3:3" ht="13" x14ac:dyDescent="0.3">
      <c r="C106" s="184" t="s">
        <v>197</v>
      </c>
    </row>
    <row r="107" spans="3:3" x14ac:dyDescent="0.25">
      <c r="C107" t="s">
        <v>198</v>
      </c>
    </row>
    <row r="108" spans="3:3" x14ac:dyDescent="0.25">
      <c r="C108" t="s">
        <v>199</v>
      </c>
    </row>
    <row r="109" spans="3:3" x14ac:dyDescent="0.25">
      <c r="C109" t="s">
        <v>413</v>
      </c>
    </row>
    <row r="110" spans="3:3" x14ac:dyDescent="0.25">
      <c r="C110" s="185" t="s">
        <v>200</v>
      </c>
    </row>
    <row r="112" spans="3:3" ht="13" x14ac:dyDescent="0.3">
      <c r="C112" s="184" t="s">
        <v>201</v>
      </c>
    </row>
    <row r="113" spans="3:3" x14ac:dyDescent="0.25">
      <c r="C113" t="s">
        <v>414</v>
      </c>
    </row>
    <row r="114" spans="3:3" x14ac:dyDescent="0.25">
      <c r="C114" t="s">
        <v>202</v>
      </c>
    </row>
    <row r="115" spans="3:3" x14ac:dyDescent="0.25">
      <c r="C115" s="185" t="s">
        <v>203</v>
      </c>
    </row>
    <row r="117" spans="3:3" ht="13" x14ac:dyDescent="0.3">
      <c r="C117" s="184" t="s">
        <v>204</v>
      </c>
    </row>
    <row r="118" spans="3:3" x14ac:dyDescent="0.25">
      <c r="C118" t="s">
        <v>205</v>
      </c>
    </row>
    <row r="119" spans="3:3" x14ac:dyDescent="0.25">
      <c r="C119" t="s">
        <v>206</v>
      </c>
    </row>
    <row r="120" spans="3:3" x14ac:dyDescent="0.25">
      <c r="C120" t="s">
        <v>415</v>
      </c>
    </row>
    <row r="121" spans="3:3" x14ac:dyDescent="0.25">
      <c r="C121" s="185" t="s">
        <v>207</v>
      </c>
    </row>
    <row r="123" spans="3:3" ht="13" x14ac:dyDescent="0.3">
      <c r="C123" s="184" t="s">
        <v>208</v>
      </c>
    </row>
    <row r="124" spans="3:3" x14ac:dyDescent="0.25">
      <c r="C124" s="186"/>
    </row>
    <row r="125" spans="3:3" x14ac:dyDescent="0.25">
      <c r="C125" s="188" t="s">
        <v>209</v>
      </c>
    </row>
    <row r="126" spans="3:3" x14ac:dyDescent="0.25">
      <c r="C126" s="188" t="s">
        <v>210</v>
      </c>
    </row>
    <row r="129" spans="3:3" ht="13" x14ac:dyDescent="0.3">
      <c r="C129" s="184" t="s">
        <v>211</v>
      </c>
    </row>
    <row r="130" spans="3:3" x14ac:dyDescent="0.25">
      <c r="C130" s="186"/>
    </row>
    <row r="131" spans="3:3" x14ac:dyDescent="0.25">
      <c r="C131" s="186" t="s">
        <v>212</v>
      </c>
    </row>
    <row r="132" spans="3:3" x14ac:dyDescent="0.25">
      <c r="C132" s="186" t="s">
        <v>416</v>
      </c>
    </row>
    <row r="133" spans="3:3" x14ac:dyDescent="0.25">
      <c r="C133" s="186" t="s">
        <v>213</v>
      </c>
    </row>
    <row r="134" spans="3:3" x14ac:dyDescent="0.25">
      <c r="C134" s="186" t="s">
        <v>417</v>
      </c>
    </row>
    <row r="135" spans="3:3" x14ac:dyDescent="0.25">
      <c r="C135" s="186"/>
    </row>
    <row r="136" spans="3:3" x14ac:dyDescent="0.25">
      <c r="C136" s="186" t="s">
        <v>214</v>
      </c>
    </row>
    <row r="137" spans="3:3" x14ac:dyDescent="0.25">
      <c r="C137" s="186" t="s">
        <v>418</v>
      </c>
    </row>
    <row r="138" spans="3:3" x14ac:dyDescent="0.25">
      <c r="C138" s="186" t="s">
        <v>419</v>
      </c>
    </row>
    <row r="139" spans="3:3" x14ac:dyDescent="0.25">
      <c r="C139" s="186" t="s">
        <v>420</v>
      </c>
    </row>
    <row r="140" spans="3:3" x14ac:dyDescent="0.25">
      <c r="C140" s="186"/>
    </row>
    <row r="141" spans="3:3" x14ac:dyDescent="0.25">
      <c r="C141" s="186" t="s">
        <v>215</v>
      </c>
    </row>
    <row r="142" spans="3:3" x14ac:dyDescent="0.25">
      <c r="C142" s="186" t="s">
        <v>216</v>
      </c>
    </row>
    <row r="143" spans="3:3" x14ac:dyDescent="0.25">
      <c r="C143" s="186" t="s">
        <v>421</v>
      </c>
    </row>
    <row r="144" spans="3:3" x14ac:dyDescent="0.25">
      <c r="C144" s="186" t="s">
        <v>422</v>
      </c>
    </row>
    <row r="145" spans="3:3" x14ac:dyDescent="0.25">
      <c r="C145" s="186"/>
    </row>
    <row r="146" spans="3:3" x14ac:dyDescent="0.25">
      <c r="C146" s="186" t="s">
        <v>217</v>
      </c>
    </row>
    <row r="147" spans="3:3" x14ac:dyDescent="0.25">
      <c r="C147" s="186" t="s">
        <v>218</v>
      </c>
    </row>
    <row r="148" spans="3:3" x14ac:dyDescent="0.25">
      <c r="C148" s="186" t="s">
        <v>423</v>
      </c>
    </row>
    <row r="149" spans="3:3" x14ac:dyDescent="0.25">
      <c r="C149" s="186" t="s">
        <v>424</v>
      </c>
    </row>
    <row r="150" spans="3:3" x14ac:dyDescent="0.25">
      <c r="C150" s="186"/>
    </row>
    <row r="151" spans="3:3" x14ac:dyDescent="0.25">
      <c r="C151" s="186" t="s">
        <v>217</v>
      </c>
    </row>
    <row r="152" spans="3:3" x14ac:dyDescent="0.25">
      <c r="C152" s="186" t="s">
        <v>425</v>
      </c>
    </row>
    <row r="153" spans="3:3" x14ac:dyDescent="0.25">
      <c r="C153" s="186" t="s">
        <v>426</v>
      </c>
    </row>
    <row r="154" spans="3:3" x14ac:dyDescent="0.25">
      <c r="C154" s="186" t="s">
        <v>427</v>
      </c>
    </row>
    <row r="156" spans="3:3" x14ac:dyDescent="0.25">
      <c r="C156" s="185" t="s">
        <v>219</v>
      </c>
    </row>
    <row r="159" spans="3:3" ht="13" x14ac:dyDescent="0.3">
      <c r="C159" s="184" t="s">
        <v>220</v>
      </c>
    </row>
    <row r="160" spans="3:3" x14ac:dyDescent="0.25">
      <c r="C160" s="186"/>
    </row>
    <row r="161" spans="3:3" x14ac:dyDescent="0.25">
      <c r="C161" s="188" t="s">
        <v>221</v>
      </c>
    </row>
    <row r="162" spans="3:3" x14ac:dyDescent="0.25">
      <c r="C162" s="188" t="s">
        <v>222</v>
      </c>
    </row>
    <row r="165" spans="3:3" ht="13" x14ac:dyDescent="0.3">
      <c r="C165" s="184" t="s">
        <v>223</v>
      </c>
    </row>
    <row r="166" spans="3:3" x14ac:dyDescent="0.25">
      <c r="C166" t="s">
        <v>224</v>
      </c>
    </row>
    <row r="167" spans="3:3" x14ac:dyDescent="0.25">
      <c r="C167" t="s">
        <v>225</v>
      </c>
    </row>
    <row r="168" spans="3:3" x14ac:dyDescent="0.25">
      <c r="C168" t="s">
        <v>428</v>
      </c>
    </row>
    <row r="169" spans="3:3" x14ac:dyDescent="0.25">
      <c r="C169" s="185" t="s">
        <v>226</v>
      </c>
    </row>
    <row r="171" spans="3:3" ht="13" x14ac:dyDescent="0.3">
      <c r="C171" s="184" t="s">
        <v>227</v>
      </c>
    </row>
    <row r="172" spans="3:3" x14ac:dyDescent="0.25">
      <c r="C172" t="s">
        <v>228</v>
      </c>
    </row>
    <row r="173" spans="3:3" x14ac:dyDescent="0.25">
      <c r="C173" t="s">
        <v>429</v>
      </c>
    </row>
    <row r="174" spans="3:3" x14ac:dyDescent="0.25">
      <c r="C174" t="s">
        <v>430</v>
      </c>
    </row>
    <row r="175" spans="3:3" x14ac:dyDescent="0.25">
      <c r="C175" s="185" t="s">
        <v>229</v>
      </c>
    </row>
    <row r="177" spans="3:3" ht="13" x14ac:dyDescent="0.3">
      <c r="C177" s="184" t="s">
        <v>73</v>
      </c>
    </row>
    <row r="178" spans="3:3" x14ac:dyDescent="0.25">
      <c r="C178" t="s">
        <v>230</v>
      </c>
    </row>
    <row r="179" spans="3:3" x14ac:dyDescent="0.25">
      <c r="C179" t="s">
        <v>431</v>
      </c>
    </row>
    <row r="180" spans="3:3" x14ac:dyDescent="0.25">
      <c r="C180" s="185" t="s">
        <v>231</v>
      </c>
    </row>
    <row r="182" spans="3:3" ht="13" x14ac:dyDescent="0.3">
      <c r="C182" s="184" t="s">
        <v>232</v>
      </c>
    </row>
    <row r="183" spans="3:3" x14ac:dyDescent="0.25">
      <c r="C183" t="s">
        <v>233</v>
      </c>
    </row>
    <row r="184" spans="3:3" x14ac:dyDescent="0.25">
      <c r="C184" t="s">
        <v>234</v>
      </c>
    </row>
    <row r="185" spans="3:3" x14ac:dyDescent="0.25">
      <c r="C185" t="s">
        <v>432</v>
      </c>
    </row>
    <row r="186" spans="3:3" x14ac:dyDescent="0.25">
      <c r="C186" s="185" t="s">
        <v>235</v>
      </c>
    </row>
    <row r="188" spans="3:3" ht="13" x14ac:dyDescent="0.3">
      <c r="C188" s="184" t="s">
        <v>236</v>
      </c>
    </row>
    <row r="189" spans="3:3" x14ac:dyDescent="0.25">
      <c r="C189" t="s">
        <v>237</v>
      </c>
    </row>
    <row r="190" spans="3:3" x14ac:dyDescent="0.25">
      <c r="C190" t="s">
        <v>202</v>
      </c>
    </row>
    <row r="191" spans="3:3" x14ac:dyDescent="0.25">
      <c r="C191" t="s">
        <v>433</v>
      </c>
    </row>
    <row r="192" spans="3:3" x14ac:dyDescent="0.25">
      <c r="C192" s="185" t="s">
        <v>238</v>
      </c>
    </row>
    <row r="194" spans="3:3" ht="13" x14ac:dyDescent="0.3">
      <c r="C194" s="184" t="s">
        <v>239</v>
      </c>
    </row>
    <row r="195" spans="3:3" x14ac:dyDescent="0.25">
      <c r="C195" t="s">
        <v>434</v>
      </c>
    </row>
    <row r="196" spans="3:3" x14ac:dyDescent="0.25">
      <c r="C196" t="s">
        <v>240</v>
      </c>
    </row>
    <row r="197" spans="3:3" x14ac:dyDescent="0.25">
      <c r="C197" t="s">
        <v>435</v>
      </c>
    </row>
    <row r="198" spans="3:3" x14ac:dyDescent="0.25">
      <c r="C198" s="185" t="s">
        <v>241</v>
      </c>
    </row>
    <row r="200" spans="3:3" ht="13" x14ac:dyDescent="0.3">
      <c r="C200" s="184" t="s">
        <v>242</v>
      </c>
    </row>
    <row r="201" spans="3:3" x14ac:dyDescent="0.25">
      <c r="C201" t="s">
        <v>243</v>
      </c>
    </row>
    <row r="202" spans="3:3" x14ac:dyDescent="0.25">
      <c r="C202" t="s">
        <v>244</v>
      </c>
    </row>
    <row r="203" spans="3:3" x14ac:dyDescent="0.25">
      <c r="C203" t="s">
        <v>436</v>
      </c>
    </row>
    <row r="204" spans="3:3" x14ac:dyDescent="0.25">
      <c r="C204" s="185" t="s">
        <v>245</v>
      </c>
    </row>
    <row r="206" spans="3:3" ht="13" x14ac:dyDescent="0.3">
      <c r="C206" s="184" t="s">
        <v>246</v>
      </c>
    </row>
    <row r="207" spans="3:3" x14ac:dyDescent="0.25">
      <c r="C207" s="186"/>
    </row>
    <row r="208" spans="3:3" x14ac:dyDescent="0.25">
      <c r="C208" s="188" t="s">
        <v>247</v>
      </c>
    </row>
    <row r="209" spans="3:3" x14ac:dyDescent="0.25">
      <c r="C209" s="188" t="s">
        <v>248</v>
      </c>
    </row>
    <row r="212" spans="3:3" ht="13" x14ac:dyDescent="0.3">
      <c r="C212" s="184" t="s">
        <v>249</v>
      </c>
    </row>
    <row r="213" spans="3:3" x14ac:dyDescent="0.25">
      <c r="C213" t="s">
        <v>250</v>
      </c>
    </row>
    <row r="214" spans="3:3" x14ac:dyDescent="0.25">
      <c r="C214" t="s">
        <v>202</v>
      </c>
    </row>
    <row r="215" spans="3:3" x14ac:dyDescent="0.25">
      <c r="C215" t="s">
        <v>437</v>
      </c>
    </row>
    <row r="216" spans="3:3" x14ac:dyDescent="0.25">
      <c r="C216" s="185" t="s">
        <v>251</v>
      </c>
    </row>
    <row r="218" spans="3:3" ht="13" x14ac:dyDescent="0.3">
      <c r="C218" s="184" t="s">
        <v>252</v>
      </c>
    </row>
    <row r="219" spans="3:3" x14ac:dyDescent="0.25">
      <c r="C219" t="s">
        <v>438</v>
      </c>
    </row>
    <row r="220" spans="3:3" x14ac:dyDescent="0.25">
      <c r="C220" t="s">
        <v>213</v>
      </c>
    </row>
    <row r="221" spans="3:3" x14ac:dyDescent="0.25">
      <c r="C221" t="s">
        <v>439</v>
      </c>
    </row>
    <row r="222" spans="3:3" x14ac:dyDescent="0.25">
      <c r="C222" s="185" t="s">
        <v>253</v>
      </c>
    </row>
    <row r="226" spans="3:3" ht="23" x14ac:dyDescent="0.25">
      <c r="C226" s="189" t="s">
        <v>254</v>
      </c>
    </row>
    <row r="228" spans="3:3" ht="13" x14ac:dyDescent="0.3">
      <c r="C228" s="184" t="s">
        <v>255</v>
      </c>
    </row>
    <row r="229" spans="3:3" x14ac:dyDescent="0.25">
      <c r="C229" t="s">
        <v>440</v>
      </c>
    </row>
    <row r="230" spans="3:3" x14ac:dyDescent="0.25">
      <c r="C230" t="s">
        <v>256</v>
      </c>
    </row>
    <row r="231" spans="3:3" x14ac:dyDescent="0.25">
      <c r="C231" t="s">
        <v>441</v>
      </c>
    </row>
    <row r="232" spans="3:3" x14ac:dyDescent="0.25">
      <c r="C232" t="s">
        <v>442</v>
      </c>
    </row>
    <row r="233" spans="3:3" x14ac:dyDescent="0.25">
      <c r="C233" s="185" t="s">
        <v>257</v>
      </c>
    </row>
    <row r="235" spans="3:3" ht="13" x14ac:dyDescent="0.3">
      <c r="C235" s="184" t="s">
        <v>258</v>
      </c>
    </row>
    <row r="236" spans="3:3" x14ac:dyDescent="0.25">
      <c r="C236" t="s">
        <v>443</v>
      </c>
    </row>
    <row r="237" spans="3:3" x14ac:dyDescent="0.25">
      <c r="C237" t="s">
        <v>179</v>
      </c>
    </row>
    <row r="238" spans="3:3" x14ac:dyDescent="0.25">
      <c r="C238" t="s">
        <v>444</v>
      </c>
    </row>
    <row r="239" spans="3:3" x14ac:dyDescent="0.25">
      <c r="C239" s="185" t="s">
        <v>259</v>
      </c>
    </row>
    <row r="241" spans="3:3" ht="13" x14ac:dyDescent="0.3">
      <c r="C241" s="184" t="s">
        <v>260</v>
      </c>
    </row>
    <row r="242" spans="3:3" x14ac:dyDescent="0.25">
      <c r="C242" t="s">
        <v>198</v>
      </c>
    </row>
    <row r="243" spans="3:3" x14ac:dyDescent="0.25">
      <c r="C243" t="s">
        <v>445</v>
      </c>
    </row>
    <row r="244" spans="3:3" x14ac:dyDescent="0.25">
      <c r="C244" t="s">
        <v>446</v>
      </c>
    </row>
    <row r="245" spans="3:3" x14ac:dyDescent="0.25">
      <c r="C245" s="185" t="s">
        <v>261</v>
      </c>
    </row>
    <row r="247" spans="3:3" ht="13" x14ac:dyDescent="0.3">
      <c r="C247" s="184" t="s">
        <v>262</v>
      </c>
    </row>
    <row r="248" spans="3:3" x14ac:dyDescent="0.25">
      <c r="C248" t="s">
        <v>263</v>
      </c>
    </row>
    <row r="249" spans="3:3" x14ac:dyDescent="0.25">
      <c r="C249" t="s">
        <v>213</v>
      </c>
    </row>
    <row r="250" spans="3:3" x14ac:dyDescent="0.25">
      <c r="C250" t="s">
        <v>447</v>
      </c>
    </row>
    <row r="251" spans="3:3" x14ac:dyDescent="0.25">
      <c r="C251" s="185" t="s">
        <v>264</v>
      </c>
    </row>
    <row r="253" spans="3:3" ht="13" x14ac:dyDescent="0.3">
      <c r="C253" s="184" t="s">
        <v>265</v>
      </c>
    </row>
    <row r="254" spans="3:3" x14ac:dyDescent="0.25">
      <c r="C254" t="s">
        <v>448</v>
      </c>
    </row>
    <row r="255" spans="3:3" x14ac:dyDescent="0.25">
      <c r="C255" t="s">
        <v>179</v>
      </c>
    </row>
    <row r="256" spans="3:3" x14ac:dyDescent="0.25">
      <c r="C256" t="s">
        <v>449</v>
      </c>
    </row>
    <row r="257" spans="3:3" x14ac:dyDescent="0.25">
      <c r="C257" s="185" t="s">
        <v>266</v>
      </c>
    </row>
    <row r="259" spans="3:3" ht="13" x14ac:dyDescent="0.3">
      <c r="C259" s="184" t="s">
        <v>267</v>
      </c>
    </row>
    <row r="260" spans="3:3" x14ac:dyDescent="0.25">
      <c r="C260" t="s">
        <v>268</v>
      </c>
    </row>
    <row r="261" spans="3:3" x14ac:dyDescent="0.25">
      <c r="C261" t="s">
        <v>450</v>
      </c>
    </row>
    <row r="262" spans="3:3" x14ac:dyDescent="0.25">
      <c r="C262" t="s">
        <v>269</v>
      </c>
    </row>
    <row r="263" spans="3:3" x14ac:dyDescent="0.25">
      <c r="C263" t="s">
        <v>451</v>
      </c>
    </row>
    <row r="264" spans="3:3" x14ac:dyDescent="0.25">
      <c r="C264" s="185" t="s">
        <v>270</v>
      </c>
    </row>
    <row r="266" spans="3:3" ht="13" x14ac:dyDescent="0.3">
      <c r="C266" s="184" t="s">
        <v>271</v>
      </c>
    </row>
    <row r="267" spans="3:3" x14ac:dyDescent="0.25">
      <c r="C267" t="s">
        <v>452</v>
      </c>
    </row>
    <row r="268" spans="3:3" x14ac:dyDescent="0.25">
      <c r="C268" t="s">
        <v>453</v>
      </c>
    </row>
    <row r="269" spans="3:3" x14ac:dyDescent="0.25">
      <c r="C269" t="s">
        <v>454</v>
      </c>
    </row>
    <row r="270" spans="3:3" x14ac:dyDescent="0.25">
      <c r="C270" t="s">
        <v>455</v>
      </c>
    </row>
    <row r="271" spans="3:3" x14ac:dyDescent="0.25">
      <c r="C271" s="185" t="s">
        <v>272</v>
      </c>
    </row>
    <row r="273" spans="3:3" ht="13" x14ac:dyDescent="0.3">
      <c r="C273" s="184" t="s">
        <v>273</v>
      </c>
    </row>
    <row r="274" spans="3:3" x14ac:dyDescent="0.25">
      <c r="C274" t="s">
        <v>456</v>
      </c>
    </row>
    <row r="275" spans="3:3" x14ac:dyDescent="0.25">
      <c r="C275" t="s">
        <v>457</v>
      </c>
    </row>
    <row r="276" spans="3:3" x14ac:dyDescent="0.25">
      <c r="C276" t="s">
        <v>458</v>
      </c>
    </row>
    <row r="277" spans="3:3" x14ac:dyDescent="0.25">
      <c r="C277" t="s">
        <v>459</v>
      </c>
    </row>
    <row r="278" spans="3:3" x14ac:dyDescent="0.25">
      <c r="C278" s="185" t="s">
        <v>274</v>
      </c>
    </row>
    <row r="280" spans="3:3" ht="13" x14ac:dyDescent="0.3">
      <c r="C280" s="184" t="s">
        <v>275</v>
      </c>
    </row>
    <row r="281" spans="3:3" x14ac:dyDescent="0.25">
      <c r="C281" t="s">
        <v>460</v>
      </c>
    </row>
    <row r="282" spans="3:3" x14ac:dyDescent="0.25">
      <c r="C282" t="s">
        <v>461</v>
      </c>
    </row>
    <row r="283" spans="3:3" x14ac:dyDescent="0.25">
      <c r="C283" t="s">
        <v>462</v>
      </c>
    </row>
    <row r="284" spans="3:3" x14ac:dyDescent="0.25">
      <c r="C284" s="185" t="s">
        <v>276</v>
      </c>
    </row>
    <row r="286" spans="3:3" ht="13" x14ac:dyDescent="0.3">
      <c r="C286" s="184" t="s">
        <v>277</v>
      </c>
    </row>
    <row r="287" spans="3:3" x14ac:dyDescent="0.25">
      <c r="C287" t="s">
        <v>278</v>
      </c>
    </row>
    <row r="288" spans="3:3" x14ac:dyDescent="0.25">
      <c r="C288" t="s">
        <v>463</v>
      </c>
    </row>
    <row r="289" spans="3:3" x14ac:dyDescent="0.25">
      <c r="C289" t="s">
        <v>464</v>
      </c>
    </row>
    <row r="290" spans="3:3" x14ac:dyDescent="0.25">
      <c r="C290" t="s">
        <v>465</v>
      </c>
    </row>
    <row r="291" spans="3:3" x14ac:dyDescent="0.25">
      <c r="C291" s="185" t="s">
        <v>279</v>
      </c>
    </row>
    <row r="293" spans="3:3" ht="13" x14ac:dyDescent="0.3">
      <c r="C293" s="184" t="s">
        <v>280</v>
      </c>
    </row>
    <row r="294" spans="3:3" x14ac:dyDescent="0.25">
      <c r="C294" t="s">
        <v>466</v>
      </c>
    </row>
    <row r="295" spans="3:3" x14ac:dyDescent="0.25">
      <c r="C295" t="s">
        <v>467</v>
      </c>
    </row>
    <row r="296" spans="3:3" x14ac:dyDescent="0.25">
      <c r="C296" t="s">
        <v>468</v>
      </c>
    </row>
    <row r="297" spans="3:3" x14ac:dyDescent="0.25">
      <c r="C297" s="185" t="s">
        <v>281</v>
      </c>
    </row>
    <row r="299" spans="3:3" ht="13" x14ac:dyDescent="0.3">
      <c r="C299" s="184" t="s">
        <v>282</v>
      </c>
    </row>
    <row r="300" spans="3:3" x14ac:dyDescent="0.25">
      <c r="C300" t="s">
        <v>469</v>
      </c>
    </row>
    <row r="301" spans="3:3" x14ac:dyDescent="0.25">
      <c r="C301" t="s">
        <v>470</v>
      </c>
    </row>
    <row r="302" spans="3:3" x14ac:dyDescent="0.25">
      <c r="C302" t="s">
        <v>471</v>
      </c>
    </row>
    <row r="303" spans="3:3" x14ac:dyDescent="0.25">
      <c r="C303" s="185" t="s">
        <v>283</v>
      </c>
    </row>
    <row r="305" spans="3:3" ht="13" x14ac:dyDescent="0.3">
      <c r="C305" s="184" t="s">
        <v>284</v>
      </c>
    </row>
    <row r="306" spans="3:3" x14ac:dyDescent="0.25">
      <c r="C306" t="s">
        <v>472</v>
      </c>
    </row>
    <row r="307" spans="3:3" x14ac:dyDescent="0.25">
      <c r="C307" t="s">
        <v>473</v>
      </c>
    </row>
    <row r="308" spans="3:3" x14ac:dyDescent="0.25">
      <c r="C308" t="s">
        <v>285</v>
      </c>
    </row>
    <row r="309" spans="3:3" x14ac:dyDescent="0.25">
      <c r="C309" t="s">
        <v>474</v>
      </c>
    </row>
    <row r="310" spans="3:3" x14ac:dyDescent="0.25">
      <c r="C310" s="185" t="s">
        <v>286</v>
      </c>
    </row>
    <row r="312" spans="3:3" ht="13" x14ac:dyDescent="0.3">
      <c r="C312" s="184" t="s">
        <v>287</v>
      </c>
    </row>
    <row r="313" spans="3:3" x14ac:dyDescent="0.25">
      <c r="C313" t="s">
        <v>475</v>
      </c>
    </row>
    <row r="314" spans="3:3" x14ac:dyDescent="0.25">
      <c r="C314" t="s">
        <v>476</v>
      </c>
    </row>
    <row r="315" spans="3:3" x14ac:dyDescent="0.25">
      <c r="C315" t="s">
        <v>477</v>
      </c>
    </row>
    <row r="316" spans="3:3" x14ac:dyDescent="0.25">
      <c r="C316" s="185" t="s">
        <v>288</v>
      </c>
    </row>
    <row r="318" spans="3:3" ht="13" x14ac:dyDescent="0.3">
      <c r="C318" s="184" t="s">
        <v>289</v>
      </c>
    </row>
    <row r="319" spans="3:3" x14ac:dyDescent="0.25">
      <c r="C319" t="s">
        <v>290</v>
      </c>
    </row>
    <row r="320" spans="3:3" x14ac:dyDescent="0.25">
      <c r="C320" t="s">
        <v>478</v>
      </c>
    </row>
    <row r="321" spans="3:3" x14ac:dyDescent="0.25">
      <c r="C321" t="s">
        <v>479</v>
      </c>
    </row>
    <row r="322" spans="3:3" x14ac:dyDescent="0.25">
      <c r="C322" s="185" t="s">
        <v>291</v>
      </c>
    </row>
    <row r="324" spans="3:3" ht="13" x14ac:dyDescent="0.3">
      <c r="C324" s="184" t="s">
        <v>292</v>
      </c>
    </row>
    <row r="325" spans="3:3" x14ac:dyDescent="0.25">
      <c r="C325" t="s">
        <v>480</v>
      </c>
    </row>
    <row r="326" spans="3:3" x14ac:dyDescent="0.25">
      <c r="C326" t="s">
        <v>481</v>
      </c>
    </row>
    <row r="327" spans="3:3" x14ac:dyDescent="0.25">
      <c r="C327" t="s">
        <v>482</v>
      </c>
    </row>
    <row r="328" spans="3:3" x14ac:dyDescent="0.25">
      <c r="C328" t="s">
        <v>483</v>
      </c>
    </row>
    <row r="329" spans="3:3" x14ac:dyDescent="0.25">
      <c r="C329" s="185" t="s">
        <v>293</v>
      </c>
    </row>
    <row r="331" spans="3:3" ht="13" x14ac:dyDescent="0.3">
      <c r="C331" s="184" t="s">
        <v>294</v>
      </c>
    </row>
    <row r="332" spans="3:3" x14ac:dyDescent="0.25">
      <c r="C332" t="s">
        <v>484</v>
      </c>
    </row>
    <row r="333" spans="3:3" x14ac:dyDescent="0.25">
      <c r="C333" t="s">
        <v>295</v>
      </c>
    </row>
    <row r="334" spans="3:3" x14ac:dyDescent="0.25">
      <c r="C334" t="s">
        <v>485</v>
      </c>
    </row>
    <row r="335" spans="3:3" x14ac:dyDescent="0.25">
      <c r="C335" s="185" t="s">
        <v>296</v>
      </c>
    </row>
    <row r="337" spans="3:3" ht="13" x14ac:dyDescent="0.3">
      <c r="C337" s="184" t="s">
        <v>297</v>
      </c>
    </row>
    <row r="338" spans="3:3" x14ac:dyDescent="0.25">
      <c r="C338" t="s">
        <v>298</v>
      </c>
    </row>
    <row r="339" spans="3:3" x14ac:dyDescent="0.25">
      <c r="C339" t="s">
        <v>486</v>
      </c>
    </row>
    <row r="340" spans="3:3" x14ac:dyDescent="0.25">
      <c r="C340" t="s">
        <v>487</v>
      </c>
    </row>
    <row r="341" spans="3:3" x14ac:dyDescent="0.25">
      <c r="C341" t="s">
        <v>488</v>
      </c>
    </row>
    <row r="342" spans="3:3" x14ac:dyDescent="0.25">
      <c r="C342" s="185" t="s">
        <v>299</v>
      </c>
    </row>
    <row r="344" spans="3:3" ht="13" x14ac:dyDescent="0.3">
      <c r="C344" s="184" t="s">
        <v>300</v>
      </c>
    </row>
    <row r="345" spans="3:3" x14ac:dyDescent="0.25">
      <c r="C345" t="s">
        <v>301</v>
      </c>
    </row>
    <row r="346" spans="3:3" x14ac:dyDescent="0.25">
      <c r="C346" t="s">
        <v>489</v>
      </c>
    </row>
    <row r="347" spans="3:3" x14ac:dyDescent="0.25">
      <c r="C347" t="s">
        <v>302</v>
      </c>
    </row>
    <row r="348" spans="3:3" x14ac:dyDescent="0.25">
      <c r="C348" t="s">
        <v>490</v>
      </c>
    </row>
    <row r="349" spans="3:3" x14ac:dyDescent="0.25">
      <c r="C349" s="185" t="s">
        <v>303</v>
      </c>
    </row>
    <row r="351" spans="3:3" ht="13" x14ac:dyDescent="0.3">
      <c r="C351" s="184" t="s">
        <v>304</v>
      </c>
    </row>
    <row r="352" spans="3:3" x14ac:dyDescent="0.25">
      <c r="C352" t="s">
        <v>491</v>
      </c>
    </row>
    <row r="353" spans="3:3" x14ac:dyDescent="0.25">
      <c r="C353" t="s">
        <v>492</v>
      </c>
    </row>
    <row r="354" spans="3:3" x14ac:dyDescent="0.25">
      <c r="C354" t="s">
        <v>493</v>
      </c>
    </row>
    <row r="355" spans="3:3" x14ac:dyDescent="0.25">
      <c r="C355" t="s">
        <v>494</v>
      </c>
    </row>
    <row r="356" spans="3:3" x14ac:dyDescent="0.25">
      <c r="C356" s="185" t="s">
        <v>305</v>
      </c>
    </row>
    <row r="360" spans="3:3" ht="23" x14ac:dyDescent="0.25">
      <c r="C360" s="189" t="s">
        <v>306</v>
      </c>
    </row>
    <row r="362" spans="3:3" ht="13" x14ac:dyDescent="0.3">
      <c r="C362" s="184" t="s">
        <v>307</v>
      </c>
    </row>
    <row r="363" spans="3:3" x14ac:dyDescent="0.25">
      <c r="C363" t="s">
        <v>308</v>
      </c>
    </row>
    <row r="364" spans="3:3" x14ac:dyDescent="0.25">
      <c r="C364" t="s">
        <v>495</v>
      </c>
    </row>
    <row r="365" spans="3:3" x14ac:dyDescent="0.25">
      <c r="C365" t="s">
        <v>496</v>
      </c>
    </row>
    <row r="366" spans="3:3" x14ac:dyDescent="0.25">
      <c r="C366" t="s">
        <v>497</v>
      </c>
    </row>
    <row r="367" spans="3:3" x14ac:dyDescent="0.25">
      <c r="C367" s="185" t="s">
        <v>309</v>
      </c>
    </row>
    <row r="369" spans="3:3" ht="13" x14ac:dyDescent="0.3">
      <c r="C369" s="184" t="s">
        <v>310</v>
      </c>
    </row>
    <row r="370" spans="3:3" x14ac:dyDescent="0.25">
      <c r="C370" t="s">
        <v>311</v>
      </c>
    </row>
    <row r="371" spans="3:3" x14ac:dyDescent="0.25">
      <c r="C371" t="s">
        <v>498</v>
      </c>
    </row>
    <row r="372" spans="3:3" x14ac:dyDescent="0.25">
      <c r="C372" t="s">
        <v>499</v>
      </c>
    </row>
    <row r="373" spans="3:3" x14ac:dyDescent="0.25">
      <c r="C373" t="s">
        <v>500</v>
      </c>
    </row>
    <row r="374" spans="3:3" x14ac:dyDescent="0.25">
      <c r="C374" s="185" t="s">
        <v>312</v>
      </c>
    </row>
    <row r="376" spans="3:3" ht="13" x14ac:dyDescent="0.3">
      <c r="C376" s="184" t="s">
        <v>313</v>
      </c>
    </row>
    <row r="377" spans="3:3" x14ac:dyDescent="0.25">
      <c r="C377" t="s">
        <v>314</v>
      </c>
    </row>
    <row r="378" spans="3:3" x14ac:dyDescent="0.25">
      <c r="C378" t="s">
        <v>501</v>
      </c>
    </row>
    <row r="379" spans="3:3" x14ac:dyDescent="0.25">
      <c r="C379" t="s">
        <v>502</v>
      </c>
    </row>
    <row r="380" spans="3:3" x14ac:dyDescent="0.25">
      <c r="C380" t="s">
        <v>503</v>
      </c>
    </row>
    <row r="381" spans="3:3" x14ac:dyDescent="0.25">
      <c r="C381" s="185" t="s">
        <v>315</v>
      </c>
    </row>
    <row r="383" spans="3:3" ht="13" x14ac:dyDescent="0.3">
      <c r="C383" s="184" t="s">
        <v>316</v>
      </c>
    </row>
    <row r="384" spans="3:3" x14ac:dyDescent="0.25">
      <c r="C384" t="s">
        <v>504</v>
      </c>
    </row>
    <row r="385" spans="3:3" x14ac:dyDescent="0.25">
      <c r="C385" t="s">
        <v>505</v>
      </c>
    </row>
    <row r="386" spans="3:3" x14ac:dyDescent="0.25">
      <c r="C386" t="s">
        <v>506</v>
      </c>
    </row>
    <row r="387" spans="3:3" x14ac:dyDescent="0.25">
      <c r="C387" t="s">
        <v>507</v>
      </c>
    </row>
    <row r="388" spans="3:3" x14ac:dyDescent="0.25">
      <c r="C388" s="185" t="s">
        <v>317</v>
      </c>
    </row>
    <row r="390" spans="3:3" ht="13" x14ac:dyDescent="0.3">
      <c r="C390" s="184" t="s">
        <v>318</v>
      </c>
    </row>
    <row r="391" spans="3:3" x14ac:dyDescent="0.25">
      <c r="C391" t="s">
        <v>319</v>
      </c>
    </row>
    <row r="392" spans="3:3" x14ac:dyDescent="0.25">
      <c r="C392" t="s">
        <v>508</v>
      </c>
    </row>
    <row r="393" spans="3:3" x14ac:dyDescent="0.25">
      <c r="C393" t="s">
        <v>509</v>
      </c>
    </row>
    <row r="394" spans="3:3" x14ac:dyDescent="0.25">
      <c r="C394" s="185" t="s">
        <v>320</v>
      </c>
    </row>
    <row r="398" spans="3:3" ht="23" x14ac:dyDescent="0.25">
      <c r="C398" s="189" t="s">
        <v>321</v>
      </c>
    </row>
    <row r="400" spans="3:3" ht="13" x14ac:dyDescent="0.3">
      <c r="C400" s="184" t="s">
        <v>322</v>
      </c>
    </row>
    <row r="401" spans="3:3" x14ac:dyDescent="0.25">
      <c r="C401" t="s">
        <v>510</v>
      </c>
    </row>
    <row r="402" spans="3:3" x14ac:dyDescent="0.25">
      <c r="C402" t="s">
        <v>244</v>
      </c>
    </row>
    <row r="403" spans="3:3" x14ac:dyDescent="0.25">
      <c r="C403" t="s">
        <v>511</v>
      </c>
    </row>
    <row r="404" spans="3:3" x14ac:dyDescent="0.25">
      <c r="C404" s="185" t="s">
        <v>323</v>
      </c>
    </row>
    <row r="408" spans="3:3" ht="23" x14ac:dyDescent="0.25">
      <c r="C408" s="189" t="s">
        <v>324</v>
      </c>
    </row>
    <row r="410" spans="3:3" ht="13" x14ac:dyDescent="0.3">
      <c r="C410" s="184" t="s">
        <v>325</v>
      </c>
    </row>
    <row r="411" spans="3:3" x14ac:dyDescent="0.25">
      <c r="C411" t="s">
        <v>512</v>
      </c>
    </row>
    <row r="412" spans="3:3" x14ac:dyDescent="0.25">
      <c r="C412" t="s">
        <v>326</v>
      </c>
    </row>
    <row r="413" spans="3:3" x14ac:dyDescent="0.25">
      <c r="C413" t="s">
        <v>513</v>
      </c>
    </row>
    <row r="414" spans="3:3" x14ac:dyDescent="0.25">
      <c r="C414" s="185" t="s">
        <v>327</v>
      </c>
    </row>
    <row r="416" spans="3:3" ht="13" x14ac:dyDescent="0.3">
      <c r="C416" s="184" t="s">
        <v>78</v>
      </c>
    </row>
    <row r="417" spans="3:3" x14ac:dyDescent="0.25">
      <c r="C417" t="s">
        <v>328</v>
      </c>
    </row>
    <row r="418" spans="3:3" x14ac:dyDescent="0.25">
      <c r="C418" t="s">
        <v>329</v>
      </c>
    </row>
    <row r="419" spans="3:3" x14ac:dyDescent="0.25">
      <c r="C419" t="s">
        <v>514</v>
      </c>
    </row>
    <row r="420" spans="3:3" x14ac:dyDescent="0.25">
      <c r="C420" s="185" t="s">
        <v>330</v>
      </c>
    </row>
    <row r="422" spans="3:3" ht="13" x14ac:dyDescent="0.3">
      <c r="C422" s="187" t="s">
        <v>331</v>
      </c>
    </row>
    <row r="423" spans="3:3" x14ac:dyDescent="0.25">
      <c r="C423" t="s">
        <v>515</v>
      </c>
    </row>
    <row r="424" spans="3:3" x14ac:dyDescent="0.25">
      <c r="C424" t="s">
        <v>332</v>
      </c>
    </row>
    <row r="425" spans="3:3" x14ac:dyDescent="0.25">
      <c r="C425" t="s">
        <v>516</v>
      </c>
    </row>
    <row r="427" spans="3:3" ht="13" x14ac:dyDescent="0.3">
      <c r="C427" s="184" t="s">
        <v>81</v>
      </c>
    </row>
    <row r="428" spans="3:3" x14ac:dyDescent="0.25">
      <c r="C428" t="s">
        <v>333</v>
      </c>
    </row>
    <row r="429" spans="3:3" x14ac:dyDescent="0.25">
      <c r="C429" t="s">
        <v>225</v>
      </c>
    </row>
    <row r="430" spans="3:3" x14ac:dyDescent="0.25">
      <c r="C430" t="s">
        <v>517</v>
      </c>
    </row>
    <row r="431" spans="3:3" x14ac:dyDescent="0.25">
      <c r="C431" s="185" t="s">
        <v>334</v>
      </c>
    </row>
    <row r="433" spans="3:3" ht="13" x14ac:dyDescent="0.3">
      <c r="C433" s="184" t="s">
        <v>335</v>
      </c>
    </row>
    <row r="434" spans="3:3" x14ac:dyDescent="0.25">
      <c r="C434" t="s">
        <v>336</v>
      </c>
    </row>
    <row r="435" spans="3:3" x14ac:dyDescent="0.25">
      <c r="C435" t="s">
        <v>179</v>
      </c>
    </row>
    <row r="436" spans="3:3" x14ac:dyDescent="0.25">
      <c r="C436" t="s">
        <v>518</v>
      </c>
    </row>
    <row r="437" spans="3:3" x14ac:dyDescent="0.25">
      <c r="C437" s="185" t="s">
        <v>337</v>
      </c>
    </row>
    <row r="439" spans="3:3" ht="13" x14ac:dyDescent="0.3">
      <c r="C439" s="184" t="s">
        <v>338</v>
      </c>
    </row>
    <row r="440" spans="3:3" x14ac:dyDescent="0.25">
      <c r="C440" t="s">
        <v>339</v>
      </c>
    </row>
    <row r="441" spans="3:3" x14ac:dyDescent="0.25">
      <c r="C441" t="s">
        <v>340</v>
      </c>
    </row>
    <row r="442" spans="3:3" x14ac:dyDescent="0.25">
      <c r="C442" t="s">
        <v>519</v>
      </c>
    </row>
    <row r="443" spans="3:3" x14ac:dyDescent="0.25">
      <c r="C443" s="185" t="s">
        <v>341</v>
      </c>
    </row>
    <row r="445" spans="3:3" ht="13" x14ac:dyDescent="0.3">
      <c r="C445" s="184" t="s">
        <v>342</v>
      </c>
    </row>
    <row r="446" spans="3:3" x14ac:dyDescent="0.25">
      <c r="C446" t="s">
        <v>520</v>
      </c>
    </row>
    <row r="447" spans="3:3" x14ac:dyDescent="0.25">
      <c r="C447" t="s">
        <v>521</v>
      </c>
    </row>
    <row r="448" spans="3:3" x14ac:dyDescent="0.25">
      <c r="C448" s="185" t="s">
        <v>343</v>
      </c>
    </row>
    <row r="450" spans="3:3" ht="13" x14ac:dyDescent="0.3">
      <c r="C450" s="184" t="s">
        <v>344</v>
      </c>
    </row>
    <row r="451" spans="3:3" x14ac:dyDescent="0.25">
      <c r="C451" t="s">
        <v>522</v>
      </c>
    </row>
    <row r="452" spans="3:3" x14ac:dyDescent="0.25">
      <c r="C452" t="s">
        <v>345</v>
      </c>
    </row>
    <row r="453" spans="3:3" x14ac:dyDescent="0.25">
      <c r="C453" t="s">
        <v>523</v>
      </c>
    </row>
    <row r="454" spans="3:3" x14ac:dyDescent="0.25">
      <c r="C454" s="185" t="s">
        <v>346</v>
      </c>
    </row>
    <row r="456" spans="3:3" ht="13" x14ac:dyDescent="0.3">
      <c r="C456" s="184" t="s">
        <v>347</v>
      </c>
    </row>
    <row r="457" spans="3:3" x14ac:dyDescent="0.25">
      <c r="C457" t="s">
        <v>348</v>
      </c>
    </row>
    <row r="458" spans="3:3" x14ac:dyDescent="0.25">
      <c r="C458" t="s">
        <v>349</v>
      </c>
    </row>
    <row r="459" spans="3:3" x14ac:dyDescent="0.25">
      <c r="C459" t="s">
        <v>524</v>
      </c>
    </row>
    <row r="460" spans="3:3" x14ac:dyDescent="0.25">
      <c r="C460" s="185" t="s">
        <v>350</v>
      </c>
    </row>
    <row r="462" spans="3:3" ht="13" x14ac:dyDescent="0.3">
      <c r="C462" s="184" t="s">
        <v>351</v>
      </c>
    </row>
    <row r="463" spans="3:3" x14ac:dyDescent="0.25">
      <c r="C463" t="s">
        <v>352</v>
      </c>
    </row>
    <row r="464" spans="3:3" x14ac:dyDescent="0.25">
      <c r="C464" t="s">
        <v>525</v>
      </c>
    </row>
    <row r="465" spans="3:3" x14ac:dyDescent="0.25">
      <c r="C465" s="185" t="s">
        <v>353</v>
      </c>
    </row>
    <row r="467" spans="3:3" ht="13" x14ac:dyDescent="0.3">
      <c r="C467" s="184" t="s">
        <v>354</v>
      </c>
    </row>
    <row r="468" spans="3:3" x14ac:dyDescent="0.25">
      <c r="C468" t="s">
        <v>526</v>
      </c>
    </row>
    <row r="469" spans="3:3" x14ac:dyDescent="0.25">
      <c r="C469" t="s">
        <v>355</v>
      </c>
    </row>
    <row r="470" spans="3:3" x14ac:dyDescent="0.25">
      <c r="C470" t="s">
        <v>527</v>
      </c>
    </row>
    <row r="471" spans="3:3" x14ac:dyDescent="0.25">
      <c r="C471" s="185" t="s">
        <v>356</v>
      </c>
    </row>
    <row r="473" spans="3:3" ht="13" x14ac:dyDescent="0.3">
      <c r="C473" s="184" t="s">
        <v>84</v>
      </c>
    </row>
    <row r="474" spans="3:3" x14ac:dyDescent="0.25">
      <c r="C474" s="186"/>
    </row>
    <row r="475" spans="3:3" x14ac:dyDescent="0.25">
      <c r="C475" s="186" t="s">
        <v>357</v>
      </c>
    </row>
    <row r="476" spans="3:3" x14ac:dyDescent="0.25">
      <c r="C476" s="186" t="s">
        <v>358</v>
      </c>
    </row>
    <row r="478" spans="3:3" x14ac:dyDescent="0.25">
      <c r="C478" t="s">
        <v>528</v>
      </c>
    </row>
    <row r="479" spans="3:3" x14ac:dyDescent="0.25">
      <c r="C479" s="185" t="s">
        <v>359</v>
      </c>
    </row>
    <row r="481" spans="3:3" ht="13" x14ac:dyDescent="0.3">
      <c r="C481" s="184" t="s">
        <v>360</v>
      </c>
    </row>
    <row r="482" spans="3:3" x14ac:dyDescent="0.25">
      <c r="C482" t="s">
        <v>361</v>
      </c>
    </row>
    <row r="483" spans="3:3" x14ac:dyDescent="0.25">
      <c r="C483" t="s">
        <v>362</v>
      </c>
    </row>
    <row r="484" spans="3:3" x14ac:dyDescent="0.25">
      <c r="C484" t="s">
        <v>529</v>
      </c>
    </row>
    <row r="485" spans="3:3" x14ac:dyDescent="0.25">
      <c r="C485" s="185" t="s">
        <v>363</v>
      </c>
    </row>
    <row r="487" spans="3:3" ht="13" x14ac:dyDescent="0.3">
      <c r="C487" s="184" t="s">
        <v>364</v>
      </c>
    </row>
    <row r="488" spans="3:3" x14ac:dyDescent="0.25">
      <c r="C488" t="s">
        <v>365</v>
      </c>
    </row>
    <row r="489" spans="3:3" x14ac:dyDescent="0.25">
      <c r="C489" t="s">
        <v>179</v>
      </c>
    </row>
    <row r="490" spans="3:3" x14ac:dyDescent="0.25">
      <c r="C490" t="s">
        <v>530</v>
      </c>
    </row>
    <row r="491" spans="3:3" x14ac:dyDescent="0.25">
      <c r="C491" s="185" t="s">
        <v>366</v>
      </c>
    </row>
    <row r="493" spans="3:3" ht="13" x14ac:dyDescent="0.3">
      <c r="C493" s="184" t="s">
        <v>367</v>
      </c>
    </row>
    <row r="494" spans="3:3" x14ac:dyDescent="0.25">
      <c r="C494" s="186"/>
    </row>
    <row r="495" spans="3:3" x14ac:dyDescent="0.25">
      <c r="C495" s="188" t="s">
        <v>368</v>
      </c>
    </row>
    <row r="496" spans="3:3" x14ac:dyDescent="0.25">
      <c r="C496" s="188" t="s">
        <v>369</v>
      </c>
    </row>
    <row r="498" spans="3:3" ht="13" x14ac:dyDescent="0.3">
      <c r="C498" s="184" t="s">
        <v>370</v>
      </c>
    </row>
    <row r="499" spans="3:3" x14ac:dyDescent="0.25">
      <c r="C499" t="s">
        <v>531</v>
      </c>
    </row>
    <row r="500" spans="3:3" x14ac:dyDescent="0.25">
      <c r="C500" t="s">
        <v>225</v>
      </c>
    </row>
    <row r="501" spans="3:3" x14ac:dyDescent="0.25">
      <c r="C501" t="s">
        <v>532</v>
      </c>
    </row>
    <row r="502" spans="3:3" x14ac:dyDescent="0.25">
      <c r="C502" s="185" t="s">
        <v>371</v>
      </c>
    </row>
    <row r="504" spans="3:3" ht="13" x14ac:dyDescent="0.3">
      <c r="C504" s="184" t="s">
        <v>89</v>
      </c>
    </row>
    <row r="505" spans="3:3" x14ac:dyDescent="0.25">
      <c r="C505" t="s">
        <v>372</v>
      </c>
    </row>
    <row r="506" spans="3:3" x14ac:dyDescent="0.25">
      <c r="C506" t="s">
        <v>373</v>
      </c>
    </row>
    <row r="507" spans="3:3" x14ac:dyDescent="0.25">
      <c r="C507" t="s">
        <v>533</v>
      </c>
    </row>
    <row r="508" spans="3:3" x14ac:dyDescent="0.25">
      <c r="C508" s="185" t="s">
        <v>374</v>
      </c>
    </row>
    <row r="510" spans="3:3" ht="13" x14ac:dyDescent="0.3">
      <c r="C510" s="184" t="s">
        <v>90</v>
      </c>
    </row>
    <row r="511" spans="3:3" x14ac:dyDescent="0.25">
      <c r="C511" t="s">
        <v>375</v>
      </c>
    </row>
    <row r="512" spans="3:3" x14ac:dyDescent="0.25">
      <c r="C512" t="s">
        <v>199</v>
      </c>
    </row>
    <row r="513" spans="3:3" x14ac:dyDescent="0.25">
      <c r="C513" t="s">
        <v>534</v>
      </c>
    </row>
    <row r="514" spans="3:3" x14ac:dyDescent="0.25">
      <c r="C514" s="185" t="s">
        <v>376</v>
      </c>
    </row>
    <row r="516" spans="3:3" ht="13" x14ac:dyDescent="0.3">
      <c r="C516" s="184" t="s">
        <v>377</v>
      </c>
    </row>
    <row r="517" spans="3:3" x14ac:dyDescent="0.25">
      <c r="C517" t="s">
        <v>378</v>
      </c>
    </row>
    <row r="518" spans="3:3" x14ac:dyDescent="0.25">
      <c r="C518" t="s">
        <v>379</v>
      </c>
    </row>
    <row r="519" spans="3:3" x14ac:dyDescent="0.25">
      <c r="C519" s="185" t="s">
        <v>380</v>
      </c>
    </row>
    <row r="521" spans="3:3" ht="13" x14ac:dyDescent="0.3">
      <c r="C521" s="184" t="s">
        <v>91</v>
      </c>
    </row>
    <row r="522" spans="3:3" x14ac:dyDescent="0.25">
      <c r="C522" t="s">
        <v>535</v>
      </c>
    </row>
    <row r="523" spans="3:3" x14ac:dyDescent="0.25">
      <c r="C523" t="s">
        <v>381</v>
      </c>
    </row>
    <row r="524" spans="3:3" x14ac:dyDescent="0.25">
      <c r="C524" t="s">
        <v>536</v>
      </c>
    </row>
    <row r="525" spans="3:3" x14ac:dyDescent="0.25">
      <c r="C525" s="185" t="s">
        <v>382</v>
      </c>
    </row>
  </sheetData>
  <hyperlinks>
    <hyperlink ref="C7" r:id="rId1" display="http://www.villamedici.it/" xr:uid="{00000000-0004-0000-0500-000000000000}"/>
    <hyperlink ref="C10" r:id="rId2" display="http://www.bnf.fr/" xr:uid="{00000000-0004-0000-0500-000001000000}"/>
    <hyperlink ref="C16" r:id="rId3" display="http://www.bpi.fr/" xr:uid="{00000000-0004-0000-0500-000002000000}"/>
    <hyperlink ref="C23" r:id="rId4" display="http://www.monuments-nationaux.fr/" xr:uid="{00000000-0004-0000-0500-000003000000}"/>
    <hyperlink ref="C29" r:id="rId5" display="http://www.centrepompidou.fr/" xr:uid="{00000000-0004-0000-0500-000004000000}"/>
    <hyperlink ref="C36" r:id="rId6" display="http://www.cnap.fr/" xr:uid="{00000000-0004-0000-0500-000005000000}"/>
    <hyperlink ref="C42" r:id="rId7" display="http://www.cnc.fr/" xr:uid="{00000000-0004-0000-0500-000006000000}"/>
    <hyperlink ref="C49" r:id="rId8" display="http://www.centrenationaldulivre.fr/" xr:uid="{00000000-0004-0000-0500-000007000000}"/>
    <hyperlink ref="C54" r:id="rId9" display="http://www.musee-chateau-fontainebleau.fr/" xr:uid="{00000000-0004-0000-0500-000008000000}"/>
    <hyperlink ref="C60" r:id="rId10" display="http://www.chateauversailles.fr/" xr:uid="{00000000-0004-0000-0500-000009000000}"/>
    <hyperlink ref="C66" r:id="rId11" display="http://www.cnsad.fr/" xr:uid="{00000000-0004-0000-0500-00000A000000}"/>
    <hyperlink ref="C72" r:id="rId12" display="http://www.cnsmdp.fr/" xr:uid="{00000000-0004-0000-0500-00000B000000}"/>
    <hyperlink ref="C79" r:id="rId13" display="http://www.cnsmd-lyon.fr/" xr:uid="{00000000-0004-0000-0500-00000C000000}"/>
    <hyperlink ref="C86" r:id="rId14" display="http://www.ecoledulouvre.fr/" xr:uid="{00000000-0004-0000-0500-00000D000000}"/>
    <hyperlink ref="C92" r:id="rId15" display="http://www.ensapc.fr/" xr:uid="{00000000-0004-0000-0500-00000E000000}"/>
    <hyperlink ref="C98" r:id="rId16" display="https://www.ensp-arles.fr/" xr:uid="{00000000-0004-0000-0500-00000F000000}"/>
    <hyperlink ref="C104" r:id="rId17" display="http://www.ensad.fr/" xr:uid="{00000000-0004-0000-0500-000010000000}"/>
    <hyperlink ref="C110" r:id="rId18" display="http://www.ensba.fr/" xr:uid="{00000000-0004-0000-0500-000011000000}"/>
    <hyperlink ref="C115" r:id="rId19" display="https://www.rebatirnotredamedeparis.fr/" xr:uid="{00000000-0004-0000-0500-000012000000}"/>
    <hyperlink ref="C121" r:id="rId20" display="http://www.palais-portedoree.fr/" xr:uid="{00000000-0004-0000-0500-000013000000}"/>
    <hyperlink ref="C125" r:id="rId21" display="http://www.sevresciteceramique.fr/" xr:uid="{00000000-0004-0000-0500-000014000000}"/>
    <hyperlink ref="C126" r:id="rId22" display="http://www.musee-adriendubouche.fr/" xr:uid="{00000000-0004-0000-0500-000015000000}"/>
    <hyperlink ref="C156" r:id="rId23" display="http://www.mobiliernational.culture.gouv.fr/" xr:uid="{00000000-0004-0000-0500-000016000000}"/>
    <hyperlink ref="C161" r:id="rId24" display="http://www.musee-orsay.fr/" xr:uid="{00000000-0004-0000-0500-000017000000}"/>
    <hyperlink ref="C162" r:id="rId25" display="http://www.musee-orangerie.fr/" xr:uid="{00000000-0004-0000-0500-000018000000}"/>
    <hyperlink ref="C169" r:id="rId26" display="http://www.guimet.fr/" xr:uid="{00000000-0004-0000-0500-000019000000}"/>
    <hyperlink ref="C175" r:id="rId27" display="http://www.mucem.org/" xr:uid="{00000000-0004-0000-0500-00001A000000}"/>
    <hyperlink ref="C180" r:id="rId28" display="http://www.louvre.fr/" xr:uid="{00000000-0004-0000-0500-00001B000000}"/>
    <hyperlink ref="C186" r:id="rId29" display="http://www.musee-picasso.fr/" xr:uid="{00000000-0004-0000-0500-00001C000000}"/>
    <hyperlink ref="C192" r:id="rId30" display="http://www.quaibranly.fr/" xr:uid="{00000000-0004-0000-0500-00001D000000}"/>
    <hyperlink ref="C198" r:id="rId31" display="http://www.inrap.fr/" xr:uid="{00000000-0004-0000-0500-00001E000000}"/>
    <hyperlink ref="C204" r:id="rId32" display="http://www.inp.fr/" xr:uid="{00000000-0004-0000-0500-00001F000000}"/>
    <hyperlink ref="C208" r:id="rId33" display="http://www.musee-henner.fr/" xr:uid="{00000000-0004-0000-0500-000020000000}"/>
    <hyperlink ref="C209" r:id="rId34" display="http://www.musee-moreau.fr/" xr:uid="{00000000-0004-0000-0500-000021000000}"/>
    <hyperlink ref="C216" r:id="rId35" display="http://www.musee-rodin.fr/" xr:uid="{00000000-0004-0000-0500-000022000000}"/>
    <hyperlink ref="C222" r:id="rId36" display="http://www.oppic.fr/" xr:uid="{00000000-0004-0000-0500-000023000000}"/>
    <hyperlink ref="C233" r:id="rId37" display="http://www.marnelavallee.archi.fr/" xr:uid="{00000000-0004-0000-0500-000024000000}"/>
    <hyperlink ref="C239" r:id="rId38" display="http://www.paris-belleville.archi.fr/" xr:uid="{00000000-0004-0000-0500-000025000000}"/>
    <hyperlink ref="C245" r:id="rId39" display="http://www.paris-malaquais.archi.fr/" xr:uid="{00000000-0004-0000-0500-000026000000}"/>
    <hyperlink ref="C251" r:id="rId40" display="http://www.paris-valdeseine.archi.fr/" xr:uid="{00000000-0004-0000-0500-000027000000}"/>
    <hyperlink ref="C257" r:id="rId41" display="http://www.paris-lavillette.archi.fr/" xr:uid="{00000000-0004-0000-0500-000028000000}"/>
    <hyperlink ref="C264" r:id="rId42" display="http://www.versailles.archi.fr/" xr:uid="{00000000-0004-0000-0500-000029000000}"/>
    <hyperlink ref="C271" r:id="rId43" display="http://www.bordeaux.archi.fr/" xr:uid="{00000000-0004-0000-0500-00002A000000}"/>
    <hyperlink ref="C278" r:id="rId44" display="http://www.rennes.archi.fr/" xr:uid="{00000000-0004-0000-0500-00002B000000}"/>
    <hyperlink ref="C284" r:id="rId45" display="http://www.clermont-fd.archi.fr/" xr:uid="{00000000-0004-0000-0500-00002C000000}"/>
    <hyperlink ref="C291" r:id="rId46" display="http://www.grenoble.archi.fr/" xr:uid="{00000000-0004-0000-0500-00002D000000}"/>
    <hyperlink ref="C297" r:id="rId47" display="http://www.montpellier.archi.fr/" xr:uid="{00000000-0004-0000-0500-00002E000000}"/>
    <hyperlink ref="C303" r:id="rId48" display="http://www.lille.archi.fr/" xr:uid="{00000000-0004-0000-0500-00002F000000}"/>
    <hyperlink ref="C310" r:id="rId49" display="http://www.lyon.archi.fr/" xr:uid="{00000000-0004-0000-0500-000030000000}"/>
    <hyperlink ref="C316" r:id="rId50" display="http://www.marseille.archi.fr/" xr:uid="{00000000-0004-0000-0500-000031000000}"/>
    <hyperlink ref="C322" r:id="rId51" display="http://www.nancy.archi.fr/" xr:uid="{00000000-0004-0000-0500-000032000000}"/>
    <hyperlink ref="C329" r:id="rId52" display="http://www.nantes.archi.fr/" xr:uid="{00000000-0004-0000-0500-000033000000}"/>
    <hyperlink ref="C335" r:id="rId53" display="http://www.rouen.archi.fr/" xr:uid="{00000000-0004-0000-0500-000034000000}"/>
    <hyperlink ref="C342" r:id="rId54" display="http://www.st-etienne.archi.fr/" xr:uid="{00000000-0004-0000-0500-000035000000}"/>
    <hyperlink ref="C349" r:id="rId55" display="http://www.strasbourg.archi.fr/" xr:uid="{00000000-0004-0000-0500-000036000000}"/>
    <hyperlink ref="C356" r:id="rId56" display="http://www.toulouse.archi.fr/" xr:uid="{00000000-0004-0000-0500-000037000000}"/>
    <hyperlink ref="C367" r:id="rId57" display="http://www.ensa-bourges.fr/" xr:uid="{00000000-0004-0000-0500-000038000000}"/>
    <hyperlink ref="C374" r:id="rId58" display="http://www.ensa-dijon.fr/" xr:uid="{00000000-0004-0000-0500-000039000000}"/>
    <hyperlink ref="C381" r:id="rId59" display="http://ensa-limoges.fr/" xr:uid="{00000000-0004-0000-0500-00003A000000}"/>
    <hyperlink ref="C388" r:id="rId60" display="http://www.ensa-nancy.fr/" xr:uid="{00000000-0004-0000-0500-00003B000000}"/>
    <hyperlink ref="C394" r:id="rId61" display="http://www.villa-arson.fr/" xr:uid="{00000000-0004-0000-0500-00003C000000}"/>
    <hyperlink ref="C404" r:id="rId62" display="http://www.inha.fr/" xr:uid="{00000000-0004-0000-0500-00003D000000}"/>
    <hyperlink ref="C414" r:id="rId63" display="http://www.cnv.fr/" xr:uid="{00000000-0004-0000-0500-00003E000000}"/>
    <hyperlink ref="C420" r:id="rId64" display="http://www.cnd.fr/" xr:uid="{00000000-0004-0000-0500-00003F000000}"/>
    <hyperlink ref="C431" r:id="rId65" display="http://www.citechaillot.fr/" xr:uid="{00000000-0004-0000-0500-000040000000}"/>
    <hyperlink ref="C437" r:id="rId66" display="http://www.citedelamusique.fr/" xr:uid="{00000000-0004-0000-0500-000041000000}"/>
    <hyperlink ref="C443" r:id="rId67" display="http://www.comedie-francaise.fr/" xr:uid="{00000000-0004-0000-0500-000042000000}"/>
    <hyperlink ref="C448" r:id="rId68" display="http://www.chambord.org/" xr:uid="{00000000-0004-0000-0500-000043000000}"/>
    <hyperlink ref="C454" r:id="rId69" display="http://www.ensci.com/" xr:uid="{00000000-0004-0000-0500-000044000000}"/>
    <hyperlink ref="C460" r:id="rId70" display="http://www.femis.fr/" xr:uid="{00000000-0004-0000-0500-000045000000}"/>
    <hyperlink ref="C465" r:id="rId71" xr:uid="{00000000-0004-0000-0500-000046000000}"/>
    <hyperlink ref="C471" r:id="rId72" display="http://www.institut-national-audiovisuel.fr/" xr:uid="{00000000-0004-0000-0500-000047000000}"/>
    <hyperlink ref="C479" r:id="rId73" display="http://www.operadeparis.fr/" xr:uid="{00000000-0004-0000-0500-000048000000}"/>
    <hyperlink ref="C485" r:id="rId74" display="http://www.palais-decouverte.fr/" xr:uid="{00000000-0004-0000-0500-000049000000}"/>
    <hyperlink ref="C491" r:id="rId75" display="http://www.villette.com/" xr:uid="{00000000-0004-0000-0500-00004A000000}"/>
    <hyperlink ref="C495" r:id="rId76" display="http://www.grandpalais.fr/" xr:uid="{00000000-0004-0000-0500-00004B000000}"/>
    <hyperlink ref="C496" r:id="rId77" display="http://www.rmngp.fr/" xr:uid="{00000000-0004-0000-0500-00004C000000}"/>
    <hyperlink ref="C502" r:id="rId78" display="http://www.theatre-chaillot.fr/" xr:uid="{00000000-0004-0000-0500-00004D000000}"/>
    <hyperlink ref="C508" r:id="rId79" display="http://www.colline.fr/" xr:uid="{00000000-0004-0000-0500-00004E000000}"/>
    <hyperlink ref="C514" r:id="rId80" display="http://www.theatre-odeon.fr/" xr:uid="{00000000-0004-0000-0500-00004F000000}"/>
    <hyperlink ref="C525" r:id="rId81" display="http://www.tns.fr/" xr:uid="{00000000-0004-0000-0500-000050000000}"/>
  </hyperlinks>
  <pageMargins left="0.7" right="0.7" top="0.75" bottom="0.75" header="0.3" footer="0.3"/>
  <pageSetup paperSize="9" orientation="portrait" r:id="rId82"/>
  <headerFooter>
    <oddFooter>&amp;C&amp;1#&amp;"Calibri"&amp;12&amp;K008000C1 Données Internes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9"/>
  <sheetViews>
    <sheetView workbookViewId="0"/>
  </sheetViews>
  <sheetFormatPr baseColWidth="10" defaultRowHeight="12.5" x14ac:dyDescent="0.25"/>
  <cols>
    <col min="1" max="1" width="5.54296875" customWidth="1"/>
    <col min="2" max="2" width="143.54296875" customWidth="1"/>
  </cols>
  <sheetData>
    <row r="1" spans="1:4" ht="38.9" customHeight="1" x14ac:dyDescent="0.25">
      <c r="B1" s="190" t="s">
        <v>541</v>
      </c>
    </row>
    <row r="3" spans="1:4" ht="23" x14ac:dyDescent="0.25">
      <c r="B3" s="189" t="s">
        <v>542</v>
      </c>
      <c r="D3" s="189" t="s">
        <v>542</v>
      </c>
    </row>
    <row r="5" spans="1:4" ht="13" x14ac:dyDescent="0.3">
      <c r="A5">
        <v>1</v>
      </c>
      <c r="B5" s="184" t="s">
        <v>543</v>
      </c>
      <c r="D5" s="184" t="s">
        <v>543</v>
      </c>
    </row>
    <row r="6" spans="1:4" ht="13" x14ac:dyDescent="0.3">
      <c r="A6">
        <v>2</v>
      </c>
      <c r="B6" s="184" t="s">
        <v>549</v>
      </c>
      <c r="D6" t="s">
        <v>544</v>
      </c>
    </row>
    <row r="7" spans="1:4" ht="13" x14ac:dyDescent="0.3">
      <c r="A7">
        <v>3</v>
      </c>
      <c r="B7" s="184" t="s">
        <v>554</v>
      </c>
      <c r="D7" t="s">
        <v>545</v>
      </c>
    </row>
    <row r="8" spans="1:4" ht="13" x14ac:dyDescent="0.3">
      <c r="A8">
        <v>4</v>
      </c>
      <c r="B8" s="184" t="s">
        <v>558</v>
      </c>
      <c r="D8" t="s">
        <v>546</v>
      </c>
    </row>
    <row r="9" spans="1:4" ht="13" x14ac:dyDescent="0.3">
      <c r="A9">
        <v>5</v>
      </c>
      <c r="B9" s="184" t="s">
        <v>562</v>
      </c>
      <c r="D9" t="s">
        <v>547</v>
      </c>
    </row>
    <row r="10" spans="1:4" ht="13" x14ac:dyDescent="0.3">
      <c r="A10">
        <v>6</v>
      </c>
      <c r="B10" s="184" t="s">
        <v>568</v>
      </c>
      <c r="D10" s="185" t="s">
        <v>548</v>
      </c>
    </row>
    <row r="11" spans="1:4" ht="13" x14ac:dyDescent="0.3">
      <c r="A11">
        <v>7</v>
      </c>
      <c r="B11" s="184" t="s">
        <v>573</v>
      </c>
    </row>
    <row r="12" spans="1:4" ht="13" x14ac:dyDescent="0.3">
      <c r="A12">
        <v>8</v>
      </c>
      <c r="B12" s="184" t="s">
        <v>578</v>
      </c>
      <c r="D12" s="184" t="s">
        <v>549</v>
      </c>
    </row>
    <row r="13" spans="1:4" ht="13" x14ac:dyDescent="0.3">
      <c r="A13">
        <v>9</v>
      </c>
      <c r="B13" s="184" t="s">
        <v>583</v>
      </c>
      <c r="D13" t="s">
        <v>550</v>
      </c>
    </row>
    <row r="14" spans="1:4" ht="13" x14ac:dyDescent="0.3">
      <c r="A14">
        <v>10</v>
      </c>
      <c r="B14" s="184" t="s">
        <v>588</v>
      </c>
      <c r="D14" t="s">
        <v>551</v>
      </c>
    </row>
    <row r="15" spans="1:4" ht="13" x14ac:dyDescent="0.3">
      <c r="A15">
        <v>11</v>
      </c>
      <c r="B15" s="184" t="s">
        <v>593</v>
      </c>
      <c r="D15" t="s">
        <v>552</v>
      </c>
    </row>
    <row r="16" spans="1:4" ht="13" x14ac:dyDescent="0.3">
      <c r="A16">
        <v>12</v>
      </c>
      <c r="B16" s="184" t="s">
        <v>598</v>
      </c>
      <c r="D16" s="185" t="s">
        <v>553</v>
      </c>
    </row>
    <row r="18" spans="1:4" ht="23" x14ac:dyDescent="0.3">
      <c r="B18" s="189" t="s">
        <v>603</v>
      </c>
      <c r="D18" s="184" t="s">
        <v>554</v>
      </c>
    </row>
    <row r="19" spans="1:4" x14ac:dyDescent="0.25">
      <c r="D19" t="s">
        <v>555</v>
      </c>
    </row>
    <row r="20" spans="1:4" ht="13" x14ac:dyDescent="0.3">
      <c r="A20">
        <v>13</v>
      </c>
      <c r="B20" s="184" t="s">
        <v>604</v>
      </c>
      <c r="D20" t="s">
        <v>556</v>
      </c>
    </row>
    <row r="21" spans="1:4" ht="13" x14ac:dyDescent="0.3">
      <c r="A21">
        <v>14</v>
      </c>
      <c r="B21" s="184" t="s">
        <v>609</v>
      </c>
      <c r="D21" s="185" t="s">
        <v>557</v>
      </c>
    </row>
    <row r="22" spans="1:4" ht="13" x14ac:dyDescent="0.3">
      <c r="A22">
        <v>15</v>
      </c>
      <c r="B22" s="184" t="s">
        <v>614</v>
      </c>
    </row>
    <row r="23" spans="1:4" ht="13" x14ac:dyDescent="0.3">
      <c r="A23">
        <v>16</v>
      </c>
      <c r="B23" s="184" t="s">
        <v>619</v>
      </c>
      <c r="D23" s="184" t="s">
        <v>558</v>
      </c>
    </row>
    <row r="24" spans="1:4" ht="13" x14ac:dyDescent="0.3">
      <c r="A24">
        <v>17</v>
      </c>
      <c r="B24" s="184" t="s">
        <v>624</v>
      </c>
      <c r="D24" t="s">
        <v>559</v>
      </c>
    </row>
    <row r="25" spans="1:4" x14ac:dyDescent="0.25">
      <c r="D25" t="s">
        <v>560</v>
      </c>
    </row>
    <row r="26" spans="1:4" ht="23" x14ac:dyDescent="0.25">
      <c r="B26" s="189" t="s">
        <v>628</v>
      </c>
      <c r="D26" s="185" t="s">
        <v>561</v>
      </c>
    </row>
    <row r="28" spans="1:4" ht="13" x14ac:dyDescent="0.3">
      <c r="A28">
        <v>18</v>
      </c>
      <c r="B28" s="184" t="s">
        <v>629</v>
      </c>
      <c r="D28" s="184" t="s">
        <v>562</v>
      </c>
    </row>
    <row r="29" spans="1:4" ht="13" x14ac:dyDescent="0.3">
      <c r="A29">
        <v>19</v>
      </c>
      <c r="B29" s="184" t="s">
        <v>643</v>
      </c>
      <c r="D29" t="s">
        <v>563</v>
      </c>
    </row>
    <row r="30" spans="1:4" ht="13" x14ac:dyDescent="0.3">
      <c r="A30">
        <v>20</v>
      </c>
      <c r="B30" s="184" t="s">
        <v>653</v>
      </c>
      <c r="D30" t="s">
        <v>564</v>
      </c>
    </row>
    <row r="31" spans="1:4" ht="13" x14ac:dyDescent="0.3">
      <c r="A31">
        <v>21</v>
      </c>
      <c r="B31" s="184" t="s">
        <v>660</v>
      </c>
      <c r="D31" t="s">
        <v>565</v>
      </c>
    </row>
    <row r="32" spans="1:4" ht="13" x14ac:dyDescent="0.3">
      <c r="A32">
        <v>22</v>
      </c>
      <c r="B32" s="184" t="s">
        <v>665</v>
      </c>
      <c r="D32" t="s">
        <v>566</v>
      </c>
    </row>
    <row r="33" spans="1:4" ht="13" x14ac:dyDescent="0.3">
      <c r="A33">
        <v>23</v>
      </c>
      <c r="B33" s="184" t="s">
        <v>670</v>
      </c>
      <c r="D33" s="185" t="s">
        <v>567</v>
      </c>
    </row>
    <row r="34" spans="1:4" ht="13" x14ac:dyDescent="0.3">
      <c r="A34">
        <v>24</v>
      </c>
      <c r="B34" s="184" t="s">
        <v>680</v>
      </c>
    </row>
    <row r="35" spans="1:4" ht="13" x14ac:dyDescent="0.3">
      <c r="A35">
        <v>25</v>
      </c>
      <c r="B35" s="184" t="s">
        <v>686</v>
      </c>
      <c r="D35" s="184" t="s">
        <v>568</v>
      </c>
    </row>
    <row r="36" spans="1:4" x14ac:dyDescent="0.25">
      <c r="D36" t="s">
        <v>569</v>
      </c>
    </row>
    <row r="37" spans="1:4" x14ac:dyDescent="0.25">
      <c r="D37" t="s">
        <v>570</v>
      </c>
    </row>
    <row r="38" spans="1:4" x14ac:dyDescent="0.25">
      <c r="D38" t="s">
        <v>571</v>
      </c>
    </row>
    <row r="39" spans="1:4" x14ac:dyDescent="0.25">
      <c r="D39" s="185" t="s">
        <v>572</v>
      </c>
    </row>
    <row r="41" spans="1:4" ht="13" x14ac:dyDescent="0.3">
      <c r="D41" s="184" t="s">
        <v>573</v>
      </c>
    </row>
    <row r="42" spans="1:4" x14ac:dyDescent="0.25">
      <c r="D42" t="s">
        <v>574</v>
      </c>
    </row>
    <row r="43" spans="1:4" x14ac:dyDescent="0.25">
      <c r="D43" t="s">
        <v>575</v>
      </c>
    </row>
    <row r="44" spans="1:4" x14ac:dyDescent="0.25">
      <c r="D44" t="s">
        <v>576</v>
      </c>
    </row>
    <row r="45" spans="1:4" x14ac:dyDescent="0.25">
      <c r="D45" s="185" t="s">
        <v>577</v>
      </c>
    </row>
    <row r="47" spans="1:4" ht="13" x14ac:dyDescent="0.3">
      <c r="D47" s="184" t="s">
        <v>578</v>
      </c>
    </row>
    <row r="48" spans="1:4" x14ac:dyDescent="0.25">
      <c r="D48" t="s">
        <v>579</v>
      </c>
    </row>
    <row r="49" spans="4:4" x14ac:dyDescent="0.25">
      <c r="D49" t="s">
        <v>580</v>
      </c>
    </row>
    <row r="50" spans="4:4" x14ac:dyDescent="0.25">
      <c r="D50" t="s">
        <v>581</v>
      </c>
    </row>
    <row r="51" spans="4:4" x14ac:dyDescent="0.25">
      <c r="D51" s="185" t="s">
        <v>582</v>
      </c>
    </row>
    <row r="53" spans="4:4" ht="13" x14ac:dyDescent="0.3">
      <c r="D53" s="184" t="s">
        <v>583</v>
      </c>
    </row>
    <row r="54" spans="4:4" x14ac:dyDescent="0.25">
      <c r="D54" t="s">
        <v>584</v>
      </c>
    </row>
    <row r="55" spans="4:4" x14ac:dyDescent="0.25">
      <c r="D55" t="s">
        <v>585</v>
      </c>
    </row>
    <row r="56" spans="4:4" x14ac:dyDescent="0.25">
      <c r="D56" t="s">
        <v>586</v>
      </c>
    </row>
    <row r="57" spans="4:4" x14ac:dyDescent="0.25">
      <c r="D57" s="185" t="s">
        <v>587</v>
      </c>
    </row>
    <row r="59" spans="4:4" ht="13" x14ac:dyDescent="0.3">
      <c r="D59" s="184" t="s">
        <v>588</v>
      </c>
    </row>
    <row r="60" spans="4:4" x14ac:dyDescent="0.25">
      <c r="D60" t="s">
        <v>589</v>
      </c>
    </row>
    <row r="61" spans="4:4" x14ac:dyDescent="0.25">
      <c r="D61" t="s">
        <v>590</v>
      </c>
    </row>
    <row r="62" spans="4:4" x14ac:dyDescent="0.25">
      <c r="D62" t="s">
        <v>591</v>
      </c>
    </row>
    <row r="63" spans="4:4" x14ac:dyDescent="0.25">
      <c r="D63" s="185" t="s">
        <v>592</v>
      </c>
    </row>
    <row r="65" spans="4:4" ht="13" x14ac:dyDescent="0.3">
      <c r="D65" s="184" t="s">
        <v>593</v>
      </c>
    </row>
    <row r="66" spans="4:4" x14ac:dyDescent="0.25">
      <c r="D66" t="s">
        <v>594</v>
      </c>
    </row>
    <row r="67" spans="4:4" x14ac:dyDescent="0.25">
      <c r="D67" t="s">
        <v>595</v>
      </c>
    </row>
    <row r="68" spans="4:4" x14ac:dyDescent="0.25">
      <c r="D68" t="s">
        <v>596</v>
      </c>
    </row>
    <row r="69" spans="4:4" x14ac:dyDescent="0.25">
      <c r="D69" s="185" t="s">
        <v>597</v>
      </c>
    </row>
    <row r="71" spans="4:4" ht="13" x14ac:dyDescent="0.3">
      <c r="D71" s="184" t="s">
        <v>598</v>
      </c>
    </row>
    <row r="72" spans="4:4" x14ac:dyDescent="0.25">
      <c r="D72" t="s">
        <v>599</v>
      </c>
    </row>
    <row r="73" spans="4:4" x14ac:dyDescent="0.25">
      <c r="D73" t="s">
        <v>600</v>
      </c>
    </row>
    <row r="74" spans="4:4" x14ac:dyDescent="0.25">
      <c r="D74" t="s">
        <v>601</v>
      </c>
    </row>
    <row r="75" spans="4:4" x14ac:dyDescent="0.25">
      <c r="D75" s="185" t="s">
        <v>602</v>
      </c>
    </row>
    <row r="77" spans="4:4" ht="23" x14ac:dyDescent="0.25">
      <c r="D77" s="189"/>
    </row>
    <row r="79" spans="4:4" ht="23" x14ac:dyDescent="0.25">
      <c r="D79" s="189" t="s">
        <v>603</v>
      </c>
    </row>
    <row r="81" spans="4:4" ht="13" x14ac:dyDescent="0.3">
      <c r="D81" s="184" t="s">
        <v>604</v>
      </c>
    </row>
    <row r="82" spans="4:4" x14ac:dyDescent="0.25">
      <c r="D82" t="s">
        <v>605</v>
      </c>
    </row>
    <row r="83" spans="4:4" x14ac:dyDescent="0.25">
      <c r="D83" t="s">
        <v>606</v>
      </c>
    </row>
    <row r="84" spans="4:4" x14ac:dyDescent="0.25">
      <c r="D84" t="s">
        <v>607</v>
      </c>
    </row>
    <row r="85" spans="4:4" x14ac:dyDescent="0.25">
      <c r="D85" s="185" t="s">
        <v>608</v>
      </c>
    </row>
    <row r="87" spans="4:4" ht="13" x14ac:dyDescent="0.3">
      <c r="D87" s="184" t="s">
        <v>609</v>
      </c>
    </row>
    <row r="88" spans="4:4" x14ac:dyDescent="0.25">
      <c r="D88" t="s">
        <v>610</v>
      </c>
    </row>
    <row r="89" spans="4:4" x14ac:dyDescent="0.25">
      <c r="D89" t="s">
        <v>611</v>
      </c>
    </row>
    <row r="90" spans="4:4" x14ac:dyDescent="0.25">
      <c r="D90" t="s">
        <v>612</v>
      </c>
    </row>
    <row r="91" spans="4:4" x14ac:dyDescent="0.25">
      <c r="D91" s="185" t="s">
        <v>613</v>
      </c>
    </row>
    <row r="93" spans="4:4" ht="13" x14ac:dyDescent="0.3">
      <c r="D93" s="184" t="s">
        <v>614</v>
      </c>
    </row>
    <row r="94" spans="4:4" x14ac:dyDescent="0.25">
      <c r="D94" t="s">
        <v>615</v>
      </c>
    </row>
    <row r="95" spans="4:4" x14ac:dyDescent="0.25">
      <c r="D95" t="s">
        <v>616</v>
      </c>
    </row>
    <row r="96" spans="4:4" x14ac:dyDescent="0.25">
      <c r="D96" t="s">
        <v>617</v>
      </c>
    </row>
    <row r="97" spans="4:4" x14ac:dyDescent="0.25">
      <c r="D97" s="185" t="s">
        <v>618</v>
      </c>
    </row>
    <row r="99" spans="4:4" ht="13" x14ac:dyDescent="0.3">
      <c r="D99" s="184" t="s">
        <v>619</v>
      </c>
    </row>
    <row r="100" spans="4:4" x14ac:dyDescent="0.25">
      <c r="D100" t="s">
        <v>620</v>
      </c>
    </row>
    <row r="101" spans="4:4" x14ac:dyDescent="0.25">
      <c r="D101" t="s">
        <v>621</v>
      </c>
    </row>
    <row r="102" spans="4:4" x14ac:dyDescent="0.25">
      <c r="D102" t="s">
        <v>622</v>
      </c>
    </row>
    <row r="103" spans="4:4" x14ac:dyDescent="0.25">
      <c r="D103" s="185" t="s">
        <v>623</v>
      </c>
    </row>
    <row r="105" spans="4:4" ht="13" x14ac:dyDescent="0.3">
      <c r="D105" s="184" t="s">
        <v>624</v>
      </c>
    </row>
    <row r="106" spans="4:4" x14ac:dyDescent="0.25">
      <c r="D106" t="s">
        <v>625</v>
      </c>
    </row>
    <row r="107" spans="4:4" x14ac:dyDescent="0.25">
      <c r="D107" t="s">
        <v>202</v>
      </c>
    </row>
    <row r="108" spans="4:4" x14ac:dyDescent="0.25">
      <c r="D108" t="s">
        <v>626</v>
      </c>
    </row>
    <row r="109" spans="4:4" x14ac:dyDescent="0.25">
      <c r="D109" s="185" t="s">
        <v>627</v>
      </c>
    </row>
    <row r="111" spans="4:4" ht="23" x14ac:dyDescent="0.25">
      <c r="D111" s="189" t="s">
        <v>628</v>
      </c>
    </row>
    <row r="113" spans="4:4" ht="13" x14ac:dyDescent="0.3">
      <c r="D113" s="184" t="s">
        <v>629</v>
      </c>
    </row>
    <row r="114" spans="4:4" x14ac:dyDescent="0.25">
      <c r="D114" t="s">
        <v>630</v>
      </c>
    </row>
    <row r="115" spans="4:4" x14ac:dyDescent="0.25">
      <c r="D115" t="s">
        <v>631</v>
      </c>
    </row>
    <row r="116" spans="4:4" x14ac:dyDescent="0.25">
      <c r="D116" t="s">
        <v>340</v>
      </c>
    </row>
    <row r="117" spans="4:4" x14ac:dyDescent="0.25">
      <c r="D117" t="s">
        <v>632</v>
      </c>
    </row>
    <row r="118" spans="4:4" x14ac:dyDescent="0.25">
      <c r="D118" s="185" t="s">
        <v>633</v>
      </c>
    </row>
    <row r="119" spans="4:4" ht="13" x14ac:dyDescent="0.3">
      <c r="D119" s="187" t="s">
        <v>634</v>
      </c>
    </row>
    <row r="120" spans="4:4" x14ac:dyDescent="0.25">
      <c r="D120" t="s">
        <v>635</v>
      </c>
    </row>
    <row r="121" spans="4:4" x14ac:dyDescent="0.25">
      <c r="D121" t="s">
        <v>636</v>
      </c>
    </row>
    <row r="122" spans="4:4" x14ac:dyDescent="0.25">
      <c r="D122" t="s">
        <v>637</v>
      </c>
    </row>
    <row r="124" spans="4:4" ht="13" x14ac:dyDescent="0.3">
      <c r="D124" s="187" t="s">
        <v>638</v>
      </c>
    </row>
    <row r="125" spans="4:4" x14ac:dyDescent="0.25">
      <c r="D125" t="s">
        <v>639</v>
      </c>
    </row>
    <row r="126" spans="4:4" x14ac:dyDescent="0.25">
      <c r="D126" t="s">
        <v>640</v>
      </c>
    </row>
    <row r="127" spans="4:4" x14ac:dyDescent="0.25">
      <c r="D127" t="s">
        <v>641</v>
      </c>
    </row>
    <row r="128" spans="4:4" x14ac:dyDescent="0.25">
      <c r="D128" t="s">
        <v>642</v>
      </c>
    </row>
    <row r="130" spans="4:4" ht="13" x14ac:dyDescent="0.3">
      <c r="D130" s="184" t="s">
        <v>643</v>
      </c>
    </row>
    <row r="132" spans="4:4" ht="13" x14ac:dyDescent="0.3">
      <c r="D132" s="187" t="s">
        <v>644</v>
      </c>
    </row>
    <row r="133" spans="4:4" x14ac:dyDescent="0.25">
      <c r="D133" t="s">
        <v>645</v>
      </c>
    </row>
    <row r="134" spans="4:4" x14ac:dyDescent="0.25">
      <c r="D134" t="s">
        <v>646</v>
      </c>
    </row>
    <row r="135" spans="4:4" x14ac:dyDescent="0.25">
      <c r="D135" t="s">
        <v>340</v>
      </c>
    </row>
    <row r="136" spans="4:4" ht="13" x14ac:dyDescent="0.3">
      <c r="D136" s="187" t="s">
        <v>647</v>
      </c>
    </row>
    <row r="137" spans="4:4" x14ac:dyDescent="0.25">
      <c r="D137" t="s">
        <v>648</v>
      </c>
    </row>
    <row r="138" spans="4:4" x14ac:dyDescent="0.25">
      <c r="D138" t="s">
        <v>649</v>
      </c>
    </row>
    <row r="139" spans="4:4" x14ac:dyDescent="0.25">
      <c r="D139" t="s">
        <v>650</v>
      </c>
    </row>
    <row r="140" spans="4:4" x14ac:dyDescent="0.25">
      <c r="D140" t="s">
        <v>651</v>
      </c>
    </row>
    <row r="141" spans="4:4" x14ac:dyDescent="0.25">
      <c r="D141" t="s">
        <v>652</v>
      </c>
    </row>
    <row r="143" spans="4:4" ht="13" x14ac:dyDescent="0.3">
      <c r="D143" s="184" t="s">
        <v>653</v>
      </c>
    </row>
    <row r="144" spans="4:4" x14ac:dyDescent="0.25">
      <c r="D144" t="s">
        <v>654</v>
      </c>
    </row>
    <row r="145" spans="4:4" x14ac:dyDescent="0.25">
      <c r="D145" t="s">
        <v>655</v>
      </c>
    </row>
    <row r="146" spans="4:4" x14ac:dyDescent="0.25">
      <c r="D146" t="s">
        <v>656</v>
      </c>
    </row>
    <row r="147" spans="4:4" x14ac:dyDescent="0.25">
      <c r="D147" t="s">
        <v>657</v>
      </c>
    </row>
    <row r="148" spans="4:4" x14ac:dyDescent="0.25">
      <c r="D148" t="s">
        <v>658</v>
      </c>
    </row>
    <row r="149" spans="4:4" x14ac:dyDescent="0.25">
      <c r="D149" s="185" t="s">
        <v>659</v>
      </c>
    </row>
    <row r="151" spans="4:4" ht="13" x14ac:dyDescent="0.3">
      <c r="D151" s="184" t="s">
        <v>660</v>
      </c>
    </row>
    <row r="152" spans="4:4" x14ac:dyDescent="0.25">
      <c r="D152" t="s">
        <v>661</v>
      </c>
    </row>
    <row r="153" spans="4:4" x14ac:dyDescent="0.25">
      <c r="D153" t="s">
        <v>662</v>
      </c>
    </row>
    <row r="154" spans="4:4" x14ac:dyDescent="0.25">
      <c r="D154" t="s">
        <v>663</v>
      </c>
    </row>
    <row r="155" spans="4:4" x14ac:dyDescent="0.25">
      <c r="D155" s="185" t="s">
        <v>664</v>
      </c>
    </row>
    <row r="157" spans="4:4" ht="13" x14ac:dyDescent="0.3">
      <c r="D157" s="184" t="s">
        <v>665</v>
      </c>
    </row>
    <row r="158" spans="4:4" x14ac:dyDescent="0.25">
      <c r="D158" t="s">
        <v>666</v>
      </c>
    </row>
    <row r="159" spans="4:4" x14ac:dyDescent="0.25">
      <c r="D159" t="s">
        <v>667</v>
      </c>
    </row>
    <row r="160" spans="4:4" x14ac:dyDescent="0.25">
      <c r="D160" t="s">
        <v>668</v>
      </c>
    </row>
    <row r="161" spans="4:4" x14ac:dyDescent="0.25">
      <c r="D161" s="185" t="s">
        <v>669</v>
      </c>
    </row>
    <row r="163" spans="4:4" ht="13" x14ac:dyDescent="0.3">
      <c r="D163" s="184" t="s">
        <v>670</v>
      </c>
    </row>
    <row r="164" spans="4:4" x14ac:dyDescent="0.25">
      <c r="D164" s="186"/>
    </row>
    <row r="165" spans="4:4" x14ac:dyDescent="0.25">
      <c r="D165" s="186" t="s">
        <v>671</v>
      </c>
    </row>
    <row r="166" spans="4:4" x14ac:dyDescent="0.25">
      <c r="D166" s="186" t="s">
        <v>672</v>
      </c>
    </row>
    <row r="167" spans="4:4" x14ac:dyDescent="0.25">
      <c r="D167" s="186" t="s">
        <v>673</v>
      </c>
    </row>
    <row r="168" spans="4:4" x14ac:dyDescent="0.25">
      <c r="D168" s="186"/>
    </row>
    <row r="169" spans="4:4" x14ac:dyDescent="0.25">
      <c r="D169" s="186" t="s">
        <v>674</v>
      </c>
    </row>
    <row r="170" spans="4:4" x14ac:dyDescent="0.25">
      <c r="D170" s="186" t="s">
        <v>675</v>
      </c>
    </row>
    <row r="171" spans="4:4" x14ac:dyDescent="0.25">
      <c r="D171" s="186" t="s">
        <v>676</v>
      </c>
    </row>
    <row r="172" spans="4:4" x14ac:dyDescent="0.25">
      <c r="D172" s="186"/>
    </row>
    <row r="173" spans="4:4" x14ac:dyDescent="0.25">
      <c r="D173" s="186" t="s">
        <v>677</v>
      </c>
    </row>
    <row r="174" spans="4:4" x14ac:dyDescent="0.25">
      <c r="D174" s="186" t="s">
        <v>678</v>
      </c>
    </row>
    <row r="176" spans="4:4" x14ac:dyDescent="0.25">
      <c r="D176" s="185" t="s">
        <v>679</v>
      </c>
    </row>
    <row r="178" spans="4:4" ht="13" x14ac:dyDescent="0.3">
      <c r="D178" s="184" t="s">
        <v>680</v>
      </c>
    </row>
    <row r="179" spans="4:4" x14ac:dyDescent="0.25">
      <c r="D179" t="s">
        <v>681</v>
      </c>
    </row>
    <row r="180" spans="4:4" x14ac:dyDescent="0.25">
      <c r="D180" t="s">
        <v>682</v>
      </c>
    </row>
    <row r="181" spans="4:4" x14ac:dyDescent="0.25">
      <c r="D181" t="s">
        <v>683</v>
      </c>
    </row>
    <row r="182" spans="4:4" x14ac:dyDescent="0.25">
      <c r="D182" t="s">
        <v>684</v>
      </c>
    </row>
    <row r="183" spans="4:4" x14ac:dyDescent="0.25">
      <c r="D183" s="185" t="s">
        <v>685</v>
      </c>
    </row>
    <row r="185" spans="4:4" ht="13" x14ac:dyDescent="0.3">
      <c r="D185" s="184" t="s">
        <v>686</v>
      </c>
    </row>
    <row r="186" spans="4:4" x14ac:dyDescent="0.25">
      <c r="D186" t="s">
        <v>687</v>
      </c>
    </row>
    <row r="187" spans="4:4" x14ac:dyDescent="0.25">
      <c r="D187" t="s">
        <v>688</v>
      </c>
    </row>
    <row r="188" spans="4:4" x14ac:dyDescent="0.25">
      <c r="D188" t="s">
        <v>689</v>
      </c>
    </row>
    <row r="189" spans="4:4" x14ac:dyDescent="0.25">
      <c r="D189" s="185" t="s">
        <v>690</v>
      </c>
    </row>
  </sheetData>
  <hyperlinks>
    <hyperlink ref="D10" r:id="rId1" display="http://www.chateau-malmaison.fr/" xr:uid="{00000000-0004-0000-0600-000000000000}"/>
    <hyperlink ref="D16" r:id="rId2" display="http://musees-nationaux-malmaison.fr/musee-maisonbonaparte/" xr:uid="{00000000-0004-0000-0600-000001000000}"/>
    <hyperlink ref="D21" r:id="rId3" display="http://musees-nationaux-malmaison.fr/musees-napoleonien-africain/" xr:uid="{00000000-0004-0000-0600-000002000000}"/>
    <hyperlink ref="D26" r:id="rId4" display="http://www.musee-renaissance.fr/" xr:uid="{00000000-0004-0000-0600-000003000000}"/>
    <hyperlink ref="D33" r:id="rId5" display="http://www.musee-moyenage.fr/" xr:uid="{00000000-0004-0000-0600-000004000000}"/>
    <hyperlink ref="D39" r:id="rId6" display="http://www.musee-magnin.fr/" xr:uid="{00000000-0004-0000-0600-000005000000}"/>
    <hyperlink ref="D45" r:id="rId7" display="http://musee-clemenceau-delattre.fr/" xr:uid="{00000000-0004-0000-0600-000006000000}"/>
    <hyperlink ref="D51" r:id="rId8" display="http://www.musee-fernandleger.fr/" xr:uid="{00000000-0004-0000-0600-000007000000}"/>
    <hyperlink ref="D57" r:id="rId9" display="http://www.musee-chagall.fr/" xr:uid="{00000000-0004-0000-0600-000008000000}"/>
    <hyperlink ref="D63" r:id="rId10" display="http://www.musee-picasso-vallauris.fr/" xr:uid="{00000000-0004-0000-0600-000009000000}"/>
    <hyperlink ref="D69" r:id="rId11" display="http://www.port-royal-des-champs.eu/" xr:uid="{00000000-0004-0000-0600-00000A000000}"/>
    <hyperlink ref="D75" r:id="rId12" display="http://www.musee-prehistoire-eyzies.fr/" xr:uid="{00000000-0004-0000-0600-00000B000000}"/>
    <hyperlink ref="D85" r:id="rId13" display="http://palaisdecompiegne.fr/" xr:uid="{00000000-0004-0000-0600-00000C000000}"/>
    <hyperlink ref="D91" r:id="rId14" display="http://www.museefrancoamericain.fr/" xr:uid="{00000000-0004-0000-0600-00000D000000}"/>
    <hyperlink ref="D97" r:id="rId15" display="http://musee-archeologienationale.fr/" xr:uid="{00000000-0004-0000-0600-00000E000000}"/>
    <hyperlink ref="D103" r:id="rId16" display="http://www.musee-chateau-pau.fr/" xr:uid="{00000000-0004-0000-0600-00000F000000}"/>
    <hyperlink ref="D109" r:id="rId17" display="http://www.museedesplansreliefs.culture.fr/" xr:uid="{00000000-0004-0000-0600-000010000000}"/>
    <hyperlink ref="D118" r:id="rId18" display="http://www.c2rmf.fr/" xr:uid="{00000000-0004-0000-0600-000011000000}"/>
    <hyperlink ref="D149" r:id="rId19" display="https://www.culture.gouv.fr/Thematiques/Archeologie/Acteurs-metiers-formations/Le-Departement-des-recherches-subaquatiques-et-sous-marines" xr:uid="{00000000-0004-0000-0600-000012000000}"/>
    <hyperlink ref="D155" r:id="rId20" display="http://www.lrmh.fr/" xr:uid="{00000000-0004-0000-0600-000013000000}"/>
    <hyperlink ref="D161" r:id="rId21" display="http://www.mediatheque-patrimoine.culture.gouv.fr/" xr:uid="{00000000-0004-0000-0600-000014000000}"/>
    <hyperlink ref="D176" r:id="rId22" display="http://www.archives-nationales.culture.gouv.fr/" xr:uid="{00000000-0004-0000-0600-000015000000}"/>
    <hyperlink ref="D183" r:id="rId23" display="http://www.archivesnationales.culture.gouv.fr/camt/" xr:uid="{00000000-0004-0000-0600-000016000000}"/>
    <hyperlink ref="D189" r:id="rId24" display="http://www.archivesnationales.culture.gouv.fr/anom/fr/" xr:uid="{00000000-0004-0000-0600-000017000000}"/>
  </hyperlinks>
  <pageMargins left="0.7" right="0.7" top="0.75" bottom="0.75" header="0.3" footer="0.3"/>
  <pageSetup paperSize="9" orientation="portrait" r:id="rId25"/>
  <headerFooter>
    <oddFooter>&amp;C&amp;1#&amp;"Calibri"&amp;12&amp;K008000C1 Données Internes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I53"/>
  <sheetViews>
    <sheetView zoomScale="74" zoomScaleNormal="74" workbookViewId="0">
      <selection activeCell="H45" sqref="H45"/>
    </sheetView>
  </sheetViews>
  <sheetFormatPr baseColWidth="10" defaultColWidth="11.453125" defaultRowHeight="10" x14ac:dyDescent="0.2"/>
  <cols>
    <col min="1" max="1" width="15.54296875" style="22" customWidth="1"/>
    <col min="2" max="2" width="11.453125" style="22"/>
    <col min="3" max="3" width="11.08984375" style="22" bestFit="1" customWidth="1"/>
    <col min="4" max="4" width="13.54296875" style="22" customWidth="1"/>
    <col min="5" max="15" width="11.453125" style="22"/>
    <col min="16" max="16" width="16.90625" style="22" customWidth="1"/>
    <col min="17" max="16384" width="11.453125" style="22"/>
  </cols>
  <sheetData>
    <row r="1" spans="1:1" ht="10.5" x14ac:dyDescent="0.25">
      <c r="A1" s="53" t="s">
        <v>814</v>
      </c>
    </row>
    <row r="2" spans="1:1" x14ac:dyDescent="0.2">
      <c r="A2" s="68" t="s">
        <v>59</v>
      </c>
    </row>
    <row r="36" spans="1:9" x14ac:dyDescent="0.2">
      <c r="A36" s="22" t="s">
        <v>809</v>
      </c>
      <c r="B36" s="57"/>
      <c r="C36" s="57"/>
    </row>
    <row r="37" spans="1:9" x14ac:dyDescent="0.2">
      <c r="A37" s="22" t="s">
        <v>793</v>
      </c>
    </row>
    <row r="38" spans="1:9" x14ac:dyDescent="0.2">
      <c r="B38" s="64"/>
      <c r="C38" s="64"/>
      <c r="D38" s="64"/>
      <c r="E38" s="64"/>
    </row>
    <row r="39" spans="1:9" x14ac:dyDescent="0.2">
      <c r="A39" s="3" t="s">
        <v>815</v>
      </c>
      <c r="B39" s="64"/>
      <c r="C39" s="64"/>
      <c r="D39" s="64"/>
      <c r="E39" s="64"/>
    </row>
    <row r="42" spans="1:9" ht="10.5" x14ac:dyDescent="0.25">
      <c r="A42" s="53" t="s">
        <v>816</v>
      </c>
    </row>
    <row r="43" spans="1:9" x14ac:dyDescent="0.2">
      <c r="A43" s="68" t="s">
        <v>59</v>
      </c>
    </row>
    <row r="44" spans="1:9" x14ac:dyDescent="0.2">
      <c r="A44" s="1079"/>
      <c r="B44" s="1080" t="s">
        <v>18</v>
      </c>
      <c r="C44" s="1080" t="s">
        <v>792</v>
      </c>
      <c r="D44" s="1080" t="s">
        <v>808</v>
      </c>
      <c r="E44" s="1081" t="s">
        <v>46</v>
      </c>
    </row>
    <row r="45" spans="1:9" ht="12.5" x14ac:dyDescent="0.25">
      <c r="A45" s="1079"/>
      <c r="B45" s="1080"/>
      <c r="C45" s="1080"/>
      <c r="D45" s="1080"/>
      <c r="E45" s="1081"/>
      <c r="I45" s="93"/>
    </row>
    <row r="46" spans="1:9" x14ac:dyDescent="0.2">
      <c r="A46" s="1079"/>
      <c r="B46" s="1080"/>
      <c r="C46" s="1080"/>
      <c r="D46" s="1080"/>
      <c r="E46" s="1081"/>
    </row>
    <row r="47" spans="1:9" x14ac:dyDescent="0.2">
      <c r="A47" s="4" t="s">
        <v>47</v>
      </c>
      <c r="B47" s="450">
        <v>545</v>
      </c>
      <c r="C47" s="450">
        <v>853</v>
      </c>
      <c r="D47" s="450">
        <v>7093</v>
      </c>
      <c r="E47" s="450">
        <v>8490</v>
      </c>
      <c r="F47" s="64"/>
      <c r="H47" s="64"/>
    </row>
    <row r="48" spans="1:9" x14ac:dyDescent="0.2">
      <c r="A48" s="4" t="s">
        <v>48</v>
      </c>
      <c r="B48" s="450">
        <v>236</v>
      </c>
      <c r="C48" s="450">
        <v>381</v>
      </c>
      <c r="D48" s="450">
        <v>1626</v>
      </c>
      <c r="E48" s="450">
        <v>2243</v>
      </c>
      <c r="F48" s="64"/>
    </row>
    <row r="49" spans="1:6" x14ac:dyDescent="0.2">
      <c r="B49" s="451">
        <f>SUM(B47:B48)</f>
        <v>781</v>
      </c>
      <c r="C49" s="451">
        <f>SUM(C47:C48)</f>
        <v>1234</v>
      </c>
      <c r="D49" s="451">
        <f>SUM(D47:D48)</f>
        <v>8719</v>
      </c>
      <c r="E49" s="451">
        <f>SUM(E47:E48)</f>
        <v>10733</v>
      </c>
      <c r="F49" s="64"/>
    </row>
    <row r="50" spans="1:6" x14ac:dyDescent="0.2">
      <c r="A50" s="22" t="s">
        <v>729</v>
      </c>
    </row>
    <row r="51" spans="1:6" x14ac:dyDescent="0.2">
      <c r="A51" s="22" t="s">
        <v>707</v>
      </c>
      <c r="B51" s="57"/>
      <c r="C51" s="57"/>
    </row>
    <row r="52" spans="1:6" x14ac:dyDescent="0.2">
      <c r="B52" s="64"/>
      <c r="C52" s="64"/>
      <c r="D52" s="64"/>
      <c r="E52" s="64"/>
    </row>
    <row r="53" spans="1:6" x14ac:dyDescent="0.2">
      <c r="A53" s="3" t="s">
        <v>815</v>
      </c>
      <c r="B53" s="64"/>
      <c r="C53" s="64"/>
      <c r="D53" s="64"/>
      <c r="E53" s="64"/>
    </row>
  </sheetData>
  <customSheetViews>
    <customSheetView guid="{B5EA72E7-EF27-46AE-B0E4-CAECE2734832}">
      <selection activeCell="A2" sqref="A2"/>
      <pageMargins left="0.7" right="0.7" top="0.75" bottom="0.75" header="0.3" footer="0.3"/>
      <pageSetup paperSize="9" orientation="portrait" r:id="rId1"/>
    </customSheetView>
    <customSheetView guid="{D7C60D54-F168-4802-9C20-D9E241B3AC75}">
      <selection activeCell="A2" sqref="A2"/>
      <pageMargins left="0.7" right="0.7" top="0.75" bottom="0.75" header="0.3" footer="0.3"/>
      <pageSetup paperSize="9" orientation="portrait" r:id="rId2"/>
    </customSheetView>
    <customSheetView guid="{D4A8130B-E15E-430B-BC62-FA365B34E0AF}">
      <selection activeCell="A2" sqref="A2"/>
      <pageMargins left="0.7" right="0.7" top="0.75" bottom="0.75" header="0.3" footer="0.3"/>
      <pageSetup paperSize="9" orientation="portrait" r:id="rId3"/>
    </customSheetView>
    <customSheetView guid="{EF36F323-8F00-4DED-B12A-4D51E72FA301}">
      <pageMargins left="0.7" right="0.7" top="0.75" bottom="0.75" header="0.3" footer="0.3"/>
      <pageSetup paperSize="9" orientation="portrait" r:id="rId4"/>
    </customSheetView>
    <customSheetView guid="{A4014A12-8077-400D-909C-C8C0AE2652D2}">
      <selection activeCell="A2" sqref="A2"/>
      <pageMargins left="0.7" right="0.7" top="0.75" bottom="0.75" header="0.3" footer="0.3"/>
      <pageSetup paperSize="9" orientation="portrait" r:id="rId5"/>
    </customSheetView>
    <customSheetView guid="{254CA843-A8D1-434E-AB9C-F327B1D1E748}">
      <selection activeCell="A2" sqref="A2"/>
      <pageMargins left="0.7" right="0.7" top="0.75" bottom="0.75" header="0.3" footer="0.3"/>
      <pageSetup paperSize="9" orientation="portrait" r:id="rId6"/>
    </customSheetView>
  </customSheetViews>
  <mergeCells count="5">
    <mergeCell ref="A44:A46"/>
    <mergeCell ref="B44:B46"/>
    <mergeCell ref="C44:C46"/>
    <mergeCell ref="D44:D46"/>
    <mergeCell ref="E44:E46"/>
  </mergeCells>
  <pageMargins left="0.7" right="0.7" top="0.75" bottom="0.75" header="0.3" footer="0.3"/>
  <pageSetup paperSize="9" orientation="portrait" r:id="rId7"/>
  <headerFooter>
    <oddFooter>&amp;C&amp;1#&amp;"Calibri"&amp;12&amp;K008000C1 Données Internes</oddFooter>
  </headerFooter>
  <drawing r:id="rId8"/>
</worksheet>
</file>

<file path=docProps/app.xml><?xml version="1.0" encoding="utf-8"?>
<Properties xmlns="http://schemas.openxmlformats.org/officeDocument/2006/extended-properties" xmlns:vt="http://schemas.openxmlformats.org/officeDocument/2006/docPropsVTypes">
  <TotalTime>652</TotalTime>
  <Application>Microsoft Excel</Application>
  <DocSecurity>0</DocSecurity>
  <ScaleCrop>false</ScaleCrop>
  <HeadingPairs>
    <vt:vector size="4" baseType="variant">
      <vt:variant>
        <vt:lpstr>Feuilles de calcul</vt:lpstr>
      </vt:variant>
      <vt:variant>
        <vt:i4>14</vt:i4>
      </vt:variant>
      <vt:variant>
        <vt:lpstr>Plages nommées</vt:lpstr>
      </vt:variant>
      <vt:variant>
        <vt:i4>3</vt:i4>
      </vt:variant>
    </vt:vector>
  </HeadingPairs>
  <TitlesOfParts>
    <vt:vector size="17" baseType="lpstr">
      <vt:lpstr>Sommaire</vt:lpstr>
      <vt:lpstr>Feuil1</vt:lpstr>
      <vt:lpstr>Tableau 1</vt:lpstr>
      <vt:lpstr>Tableau 2  </vt:lpstr>
      <vt:lpstr>Feuil2</vt:lpstr>
      <vt:lpstr>Tableau 3 </vt:lpstr>
      <vt:lpstr>Liste EP</vt:lpstr>
      <vt:lpstr>SCN</vt:lpstr>
      <vt:lpstr>Graphique 1</vt:lpstr>
      <vt:lpstr>Graphique 2</vt:lpstr>
      <vt:lpstr>Tableau 4</vt:lpstr>
      <vt:lpstr>Tableau 5 </vt:lpstr>
      <vt:lpstr>Tableau 6</vt:lpstr>
      <vt:lpstr>Graphique 3</vt:lpstr>
      <vt:lpstr>'Tableau 1'!Zone_d_impression</vt:lpstr>
      <vt:lpstr>'Tableau 5 '!Zone_d_impression</vt:lpstr>
      <vt:lpstr>'Tableau 6'!Zone_d_impression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DEPS, ministere de la Culture</dc:creator>
  <cp:lastModifiedBy>SCHREIBER Amandine</cp:lastModifiedBy>
  <cp:lastPrinted>2020-02-20T11:11:52Z</cp:lastPrinted>
  <dcterms:created xsi:type="dcterms:W3CDTF">2017-01-03T10:13:51Z</dcterms:created>
  <dcterms:modified xsi:type="dcterms:W3CDTF">2026-05-21T15:30:12Z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2024-12-10T15:49:09Z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73a2d140-ac4c-4ae2-918e-29fbcb53e36b</vt:lpwstr>
  </property>
  <property fmtid="{D5CDD505-2E9C-101B-9397-08002B2CF9AE}" pid="8" name="MSIP_Label_37f782e2-1048-4ae6-8561-ea50d7047004_ContentBits">
    <vt:lpwstr>2</vt:lpwstr>
  </property>
</Properties>
</file>