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ancois.tugores\Documents\BDSC\Budget du ministère de la Culture\"/>
    </mc:Choice>
  </mc:AlternateContent>
  <bookViews>
    <workbookView xWindow="0" yWindow="0" windowWidth="16380" windowHeight="8190" tabRatio="495" firstSheet="1" activeTab="1"/>
  </bookViews>
  <sheets>
    <sheet name="liste tableaux" sheetId="1" r:id="rId1"/>
    <sheet name="budget MC total série longue " sheetId="2" r:id="rId2"/>
    <sheet name="budget MC LFItype de dépense" sheetId="3" r:id="rId3"/>
    <sheet name="budget MC LFIaction" sheetId="4" r:id="rId4"/>
    <sheet name="opérateurs" sheetId="5" r:id="rId5"/>
  </sheets>
  <definedNames>
    <definedName name="_xlnm.Print_Area" localSheetId="1">'budget MC total série longue '!$A$2:$J$88</definedName>
  </definedName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H8" i="5" l="1"/>
  <c r="I8" i="5"/>
  <c r="J8" i="5"/>
  <c r="K8" i="5"/>
  <c r="I7" i="4" l="1"/>
  <c r="J37" i="4"/>
  <c r="I37" i="4"/>
  <c r="J19" i="4"/>
  <c r="J31" i="4"/>
  <c r="I31" i="4"/>
  <c r="H28" i="4"/>
  <c r="I19" i="4"/>
  <c r="J31" i="3"/>
  <c r="H32" i="3"/>
  <c r="H26" i="3"/>
  <c r="J26" i="3"/>
  <c r="I8" i="4"/>
  <c r="J8" i="4"/>
  <c r="I16" i="4"/>
  <c r="J16" i="4"/>
  <c r="I28" i="4"/>
  <c r="J28" i="4"/>
  <c r="I9" i="3"/>
  <c r="J9" i="3"/>
  <c r="I14" i="3"/>
  <c r="J14" i="3"/>
  <c r="I19" i="3"/>
  <c r="J19" i="3"/>
  <c r="I26" i="3"/>
  <c r="I32" i="3"/>
  <c r="I31" i="3" s="1"/>
  <c r="J32" i="3"/>
  <c r="I35" i="3"/>
  <c r="J35" i="3"/>
  <c r="J7" i="4" l="1"/>
  <c r="J8" i="3"/>
  <c r="I8" i="3"/>
  <c r="J7" i="3" l="1"/>
  <c r="I7" i="3"/>
  <c r="F72" i="5" l="1"/>
  <c r="F68" i="5"/>
  <c r="F67" i="5"/>
  <c r="F65" i="5"/>
  <c r="F64" i="5"/>
  <c r="F62" i="5"/>
  <c r="F61" i="5"/>
  <c r="F60" i="5"/>
  <c r="F59" i="5"/>
  <c r="F58" i="5"/>
  <c r="F57" i="5"/>
  <c r="F56" i="5"/>
  <c r="F55" i="5"/>
  <c r="F54" i="5"/>
  <c r="F53" i="5"/>
  <c r="F51" i="5"/>
  <c r="F50" i="5"/>
  <c r="F48" i="5"/>
  <c r="F47" i="5"/>
  <c r="F46" i="5"/>
  <c r="F45" i="5"/>
  <c r="F44" i="5"/>
  <c r="F43" i="5"/>
  <c r="F42" i="5"/>
  <c r="F41" i="5"/>
  <c r="F40" i="5"/>
  <c r="F39" i="5"/>
  <c r="F38" i="5"/>
  <c r="F36" i="5"/>
  <c r="F35" i="5"/>
  <c r="F34" i="5"/>
  <c r="F32" i="5"/>
  <c r="F29" i="5"/>
  <c r="F27" i="5"/>
  <c r="F26" i="5"/>
  <c r="F25" i="5"/>
  <c r="F24" i="5"/>
  <c r="F23" i="5"/>
  <c r="F22" i="5"/>
  <c r="F21" i="5"/>
  <c r="F19" i="5"/>
  <c r="F17" i="5"/>
  <c r="F16" i="5"/>
  <c r="F15" i="5"/>
  <c r="F14" i="5"/>
  <c r="F12" i="5"/>
  <c r="F11" i="5"/>
  <c r="F10" i="5"/>
  <c r="G8" i="5"/>
  <c r="E8" i="5"/>
  <c r="D8" i="5"/>
  <c r="C8" i="5"/>
  <c r="B8" i="5"/>
  <c r="H42" i="4"/>
  <c r="F42" i="4"/>
  <c r="D42" i="4"/>
  <c r="C42" i="4"/>
  <c r="B42" i="4"/>
  <c r="H37" i="4"/>
  <c r="F37" i="4"/>
  <c r="D37" i="4"/>
  <c r="C37" i="4"/>
  <c r="B37" i="4"/>
  <c r="H31" i="4"/>
  <c r="F31" i="4"/>
  <c r="E31" i="4"/>
  <c r="D31" i="4"/>
  <c r="C31" i="4"/>
  <c r="B31" i="4"/>
  <c r="B7" i="4" s="1"/>
  <c r="F28" i="4"/>
  <c r="D28" i="4"/>
  <c r="C28" i="4"/>
  <c r="B28" i="4"/>
  <c r="H19" i="4"/>
  <c r="F19" i="4"/>
  <c r="C19" i="4"/>
  <c r="B19" i="4"/>
  <c r="H16" i="4"/>
  <c r="F16" i="4"/>
  <c r="D16" i="4"/>
  <c r="C16" i="4"/>
  <c r="B16" i="4"/>
  <c r="H8" i="4"/>
  <c r="F8" i="4"/>
  <c r="F7" i="4" s="1"/>
  <c r="D8" i="4"/>
  <c r="C8" i="4"/>
  <c r="C7" i="4" s="1"/>
  <c r="B8" i="4"/>
  <c r="H7" i="4"/>
  <c r="G7" i="4"/>
  <c r="E7" i="4"/>
  <c r="D7" i="4"/>
  <c r="F43" i="3"/>
  <c r="D43" i="3"/>
  <c r="B43" i="3"/>
  <c r="H40" i="3"/>
  <c r="F40" i="3"/>
  <c r="D40" i="3"/>
  <c r="C40" i="3"/>
  <c r="B40" i="3"/>
  <c r="H35" i="3"/>
  <c r="H31" i="3" s="1"/>
  <c r="F35" i="3"/>
  <c r="F31" i="3" s="1"/>
  <c r="D35" i="3"/>
  <c r="C35" i="3"/>
  <c r="C31" i="3" s="1"/>
  <c r="F32" i="3"/>
  <c r="D32" i="3"/>
  <c r="C32" i="3"/>
  <c r="E31" i="3"/>
  <c r="E7" i="3" s="1"/>
  <c r="F26" i="3"/>
  <c r="D26" i="3"/>
  <c r="C26" i="3"/>
  <c r="B26" i="3"/>
  <c r="H19" i="3"/>
  <c r="F19" i="3"/>
  <c r="D19" i="3"/>
  <c r="C19" i="3"/>
  <c r="B19" i="3"/>
  <c r="H14" i="3"/>
  <c r="F14" i="3"/>
  <c r="D14" i="3"/>
  <c r="C14" i="3"/>
  <c r="B14" i="3"/>
  <c r="H9" i="3"/>
  <c r="H8" i="3" s="1"/>
  <c r="F9" i="3"/>
  <c r="D9" i="3"/>
  <c r="C9" i="3"/>
  <c r="B9" i="3"/>
  <c r="E8" i="3"/>
  <c r="C8" i="3"/>
  <c r="B8" i="3"/>
  <c r="B7" i="3" s="1"/>
  <c r="G7" i="3"/>
  <c r="C74" i="2"/>
  <c r="B52" i="2"/>
  <c r="B51" i="2"/>
  <c r="B50" i="2"/>
  <c r="F8" i="5" l="1"/>
  <c r="H7" i="3"/>
  <c r="D31" i="3"/>
  <c r="C7" i="3"/>
  <c r="F8" i="3"/>
  <c r="F7" i="3" s="1"/>
  <c r="D8" i="3"/>
  <c r="D7" i="3" l="1"/>
</calcChain>
</file>

<file path=xl/sharedStrings.xml><?xml version="1.0" encoding="utf-8"?>
<sst xmlns="http://schemas.openxmlformats.org/spreadsheetml/2006/main" count="409" uniqueCount="193">
  <si>
    <t>BUDGET MINISTÈRE CHARGÉ DE LA CULTURE</t>
  </si>
  <si>
    <t>BUDGET DU MINISTÈRE DE LA CULTURE ET DE LA COMMUNICATION</t>
  </si>
  <si>
    <t>Répartition des crédits budgétaires par mission, programme et action LFI</t>
  </si>
  <si>
    <t>Millions d'euros</t>
  </si>
  <si>
    <t>Total</t>
  </si>
  <si>
    <t>Dépenses</t>
  </si>
  <si>
    <t>Crédits de</t>
  </si>
  <si>
    <t>Autorisations</t>
  </si>
  <si>
    <t>ordinaires</t>
  </si>
  <si>
    <t>paiement</t>
  </si>
  <si>
    <t>de programme</t>
  </si>
  <si>
    <t>Total = dépenses ordinaires + crédits de paiement.</t>
  </si>
  <si>
    <t>Les autorisations de programme sont des engagements de dépenses d'équipement concernant</t>
  </si>
  <si>
    <t>les années à venir. Ces engagements se matérialisent sous forme de crédits de paiement annuels.</t>
  </si>
  <si>
    <t>Mission Culture et programme Recherche culturelle et culture scientifique de la mission</t>
  </si>
  <si>
    <t>recherche et enseignement supérieur.</t>
  </si>
  <si>
    <t>Crédits</t>
  </si>
  <si>
    <t>Autorisations</t>
  </si>
  <si>
    <t>de paiement</t>
  </si>
  <si>
    <t>d'engagement</t>
  </si>
  <si>
    <t>Mission Culture et mission Médias, livre et industries culturelles</t>
  </si>
  <si>
    <t>et programme Recherche culturelle et culture scientifique de la mission Recherche et enseignement supérieur.</t>
  </si>
  <si>
    <t>Crédits ouverts en loi de finances initiale (LFI)</t>
  </si>
  <si>
    <t>Hors Avances à l'audiovisuel public.</t>
  </si>
  <si>
    <t>Les crédits sont votés, d'une part, en autorisations d'engagement (capacité d'engager juridiquement l'État) et, d'autre part,</t>
  </si>
  <si>
    <t>en crédits de paiement (volume de trésorerie nécessaire dans l'année, pour couvrir les engagements pris ou à prendre).</t>
  </si>
  <si>
    <t>A partir de loi de finances 2011, le périmètre budgétaire du ministère de la Culture et de la Communication comprend la missions Culture,</t>
  </si>
  <si>
    <t>la mission Médias, livre et industries culturelles et le programme "Recherche culturelle et culture scientifique"</t>
  </si>
  <si>
    <t>de la mission interministérielle "Recherche et enseignement supérieur".</t>
  </si>
  <si>
    <t>Il a été modifié par rapport aux années précédentes suite à la redéfinition de ses missions et de sa réorganisation comme ont été modifiées</t>
  </si>
  <si>
    <t>les répartitions entre les différentes actions.</t>
  </si>
  <si>
    <t>Les crédits 2010 ont été retraitées dans ce nouveau schéma.</t>
  </si>
  <si>
    <t>Répartition des crédits budgétaires par mission, programme et titre de dépense*</t>
  </si>
  <si>
    <t>LFI</t>
  </si>
  <si>
    <t>Mission culture</t>
  </si>
  <si>
    <t>-  Programme 175 Patrimoines</t>
  </si>
  <si>
    <t>Dépenses de fonctionnement</t>
  </si>
  <si>
    <t>Dépenses d'investissement</t>
  </si>
  <si>
    <t>Dépenses d'intervention</t>
  </si>
  <si>
    <t>Dépenses d'opérations financières</t>
  </si>
  <si>
    <t>///</t>
  </si>
  <si>
    <t>- Programme 131 Création</t>
  </si>
  <si>
    <t>- Programme 224 Transmission des savoirs et démocratisation de la culture</t>
  </si>
  <si>
    <t>Dépenses de personnel</t>
  </si>
  <si>
    <t>Mission recherche et enseignement supérieur</t>
  </si>
  <si>
    <t>- Programme 186 Recherche culturelle et culture scientifique</t>
  </si>
  <si>
    <t>Mission médias, livre et industries culturelles</t>
  </si>
  <si>
    <t>///</t>
  </si>
  <si>
    <t>- Programme 334 Livre et industries culturelles</t>
  </si>
  <si>
    <t>- Programme 313 Contribution à l'audiovisuel et à la diversité radiophonique</t>
  </si>
  <si>
    <t>- Programme 115 Action audiovisuelle extérieure</t>
  </si>
  <si>
    <t>*Crédits de paiement ouverts en loi de finances initiale ( LFI)</t>
  </si>
  <si>
    <t>Hors avances à l'audiovisuel public.</t>
  </si>
  <si>
    <t>En 2011, le programme Presse, livre et industries culturelles est scindé en 2 programmes</t>
  </si>
  <si>
    <t>En 2014, les crédits dédiés au transport postal de la presse du programme 180 ont été transférés vers le programme 134 "Développement des entreprises et de l’emploi" de la mission Économie (pour 2013 les crédits LFI retraitée ont été retenus)</t>
  </si>
  <si>
    <t>Les crédits du budget général versés par le programme « Contribution à l’audiovisuel » (313) au titre de l’action « France Télévisions » complètent ceux issus de la contribution à l’audiovisuel public (ex-redevance audiovisuelle), qui sont inscrits sur le programme 841 « France Télévisions » de la mission « Avances à l’audiovisuel public » ; à la diminution des crédits du budget général correspond une augmentation des crédits inscrits au programme 841.</t>
  </si>
  <si>
    <t>En 2015, au programme Action audiovisuelle extérieure se sont substitués le nouveau programme « TV 5 Monde » (programme 847) et le programme modifié « France Médias Monde » (programme 844)  du compte de concours financiers « Avances à l’audiovisuel public »</t>
  </si>
  <si>
    <t>En 2016, le programme patrimoine (action patrimoine archéologique) intègre la taxe auparavant affectée à l’INRAP et qui a fait l’objet d’une rebudgétisation au PLF 2016 (dépenses de fonctionnement)</t>
  </si>
  <si>
    <t>Crédits de paiement</t>
  </si>
  <si>
    <t>Programme Patrimoines</t>
  </si>
  <si>
    <t>Patrimoine des musées de France</t>
  </si>
  <si>
    <t>Patrimoine archivistique et célébrations nationales</t>
  </si>
  <si>
    <t>Patrimoine linguistique</t>
  </si>
  <si>
    <t>Acquisitions et enrichissement des collections publiques</t>
  </si>
  <si>
    <t>Patrimoine archéologique</t>
  </si>
  <si>
    <t>Programme Création</t>
  </si>
  <si>
    <t>Soutien à la création, à la production et à la diffusion du spectacle vivant</t>
  </si>
  <si>
    <t>Soutien à la création, à la production et à la diffusion des arts plastiques</t>
  </si>
  <si>
    <t>Programme Transmission des savoirs et démocratisation de la culture</t>
  </si>
  <si>
    <t>Soutien aux établissements d'enseignement supérieur et insertion professionnelle</t>
  </si>
  <si>
    <t>Soutien à l'éducation artistique et culturelle</t>
  </si>
  <si>
    <t>Soutien aux établissements d'enseignement spécialisé</t>
  </si>
  <si>
    <t>Soutien à la démocratisation et à l'éducation artistique et culturelle</t>
  </si>
  <si>
    <t>Actions en faveur de l'accès à la culture</t>
  </si>
  <si>
    <t>Action culturelle internationale</t>
  </si>
  <si>
    <t>Programme Recherche culturelle et culture scientifique</t>
  </si>
  <si>
    <t>Recherche culturelle</t>
  </si>
  <si>
    <t>Culture scientifique et technique</t>
  </si>
  <si>
    <t>Abonnement de l'État à l'AFP/Relations financières avec l'AFP</t>
  </si>
  <si>
    <t>Aides à la presse</t>
  </si>
  <si>
    <t>Programme Livre et industries culturelles</t>
  </si>
  <si>
    <t>Livre et lecture</t>
  </si>
  <si>
    <t>Industries culturelles</t>
  </si>
  <si>
    <t>Soutien aux médias de proximité</t>
  </si>
  <si>
    <t>Programme Contribution à l'audiovisuel et à la diversité radiophonique</t>
  </si>
  <si>
    <t>France Télévisions</t>
  </si>
  <si>
    <t>Passages à la télévision tout numérique</t>
  </si>
  <si>
    <t>Soutien à l'expression radiophonique locale</t>
  </si>
  <si>
    <t>Programme Action audiovisuelle extérieure</t>
  </si>
  <si>
    <t>Des actions ont connu des modifications certaines années.</t>
  </si>
  <si>
    <t>En 2013, l'action Soutien à l’éducation artistique et culturelle est  regroupée avec l'action Actions en faveur de l'accès à la culture</t>
  </si>
  <si>
    <t>et devient Soutien à la démocratisation et à l'éducation artistique et culturelle ;</t>
  </si>
  <si>
    <t>en 2015, l’action soutien aux établissements d’enseignement spécialisé est regroupée avec l’action soutien aux établissements d’enseignement supérieur et insertion professionnelle.</t>
  </si>
  <si>
    <t>L'action Abonnements de l'État à l'AFP est devenue Relations financières avec l'AFP.</t>
  </si>
  <si>
    <t>En 2013, l’action « Passage à la télévision tout numérique » a été supprimée suite à la finalisation en 2012 des opérations de passage de l’analogique vers le numérique.</t>
  </si>
  <si>
    <t>En 2015, au programme Action audiovisuelle extérieure se sont substitués le nouveau programme « TV 5 Monde » (programme 847) et le programme modifié « France Médias Monde » (programme 844)</t>
  </si>
  <si>
    <t>du compte de concours financiers « Avances à l’audiovisuel public »</t>
  </si>
  <si>
    <t>En 2016, l'action patrimoine archéologique intègre la taxe auparavant affectée à l’INRAP et qui a fait l’objet d’une rebudgétisation au PLF 2016</t>
  </si>
  <si>
    <t>Pour France télévisions,…</t>
  </si>
  <si>
    <t>Subventions pour charges de service public et le cas échéant, transferts et dotations en fonds propres par programme chef de file</t>
  </si>
  <si>
    <t>Crédits de paiement</t>
  </si>
  <si>
    <t>Milliers d'euros</t>
  </si>
  <si>
    <t>exécution</t>
  </si>
  <si>
    <t>PLF</t>
  </si>
  <si>
    <t>Programme Patrimoines</t>
  </si>
  <si>
    <t>Cité de l'architecture et du patrimoine</t>
  </si>
  <si>
    <t>Centre des monuments nationaux</t>
  </si>
  <si>
    <t>Centre national d'art et de culture - Georges Pompidou</t>
  </si>
  <si>
    <t>EP du grand Palais des Champs Élysées</t>
  </si>
  <si>
    <t>EP du musée du quai Branly</t>
  </si>
  <si>
    <t>EP du musée et domaine national de Versailles</t>
  </si>
  <si>
    <t>EP du château de Fontainebleau</t>
  </si>
  <si>
    <t>EP du domaine de Chambord</t>
  </si>
  <si>
    <t>Institut national de l'histoire de l'art**</t>
  </si>
  <si>
    <t>Institut national de recherches archéologiques préventives</t>
  </si>
  <si>
    <t>Maison de l'histoire de France</t>
  </si>
  <si>
    <t>Musée des arts décoratifs</t>
  </si>
  <si>
    <t>Musée des civilisations de l'Europe et de la Méditerranée</t>
  </si>
  <si>
    <t>Musée d'Orsay et musée de l'Orangerie</t>
  </si>
  <si>
    <t>Musée du Louvre</t>
  </si>
  <si>
    <t>Musée Guimet</t>
  </si>
  <si>
    <t>Musée Henner</t>
  </si>
  <si>
    <t>Musée Moreau</t>
  </si>
  <si>
    <t>Musée Picasso</t>
  </si>
  <si>
    <t>Musée Rodin</t>
  </si>
  <si>
    <t>Réunion des musées nationaux</t>
  </si>
  <si>
    <t>Rmn-Grand Palais</t>
  </si>
  <si>
    <t>Centre national de la danse</t>
  </si>
  <si>
    <t>Cité de la musique (+ Philharmonie à partir de 2014)</t>
  </si>
  <si>
    <t>Centre national des arts plastiques</t>
  </si>
  <si>
    <t>Centre national de la chanson, des variétés et du jazz</t>
  </si>
  <si>
    <t>Ensemble intercontemporain</t>
  </si>
  <si>
    <t>EP du parc et de la grande halle de la Villette</t>
  </si>
  <si>
    <t>Opéra comique</t>
  </si>
  <si>
    <t>Opéra national de Paris</t>
  </si>
  <si>
    <t>Orchestre de Paris</t>
  </si>
  <si>
    <t>Cité de la céramique - Sèvres et Limoges</t>
  </si>
  <si>
    <t>Comédie Française</t>
  </si>
  <si>
    <t>Théâtre national de Chaillot</t>
  </si>
  <si>
    <t>Théâtre national de la Colline</t>
  </si>
  <si>
    <t>Théâtre national de l'Odéon</t>
  </si>
  <si>
    <t>Théâtre national de Strasbourg</t>
  </si>
  <si>
    <t>Académie de France à Rome</t>
  </si>
  <si>
    <t>Centre national des arts du cirque</t>
  </si>
  <si>
    <t>Centre national du cinéma et de l'image animée</t>
  </si>
  <si>
    <t>-</t>
  </si>
  <si>
    <t>Cité nationale de l'histoire de l'immigration et aquarium</t>
  </si>
  <si>
    <t>Conservatoire national supérieur d'art dramatique</t>
  </si>
  <si>
    <t>École du Louvre</t>
  </si>
  <si>
    <t>Écoles (20) nationales supérieures d'architecture</t>
  </si>
  <si>
    <t>Écoles (7) d'art en région</t>
  </si>
  <si>
    <t>École nationale supérieure des arts décoratifs</t>
  </si>
  <si>
    <t>École nationale supérieure des beaux-arts</t>
  </si>
  <si>
    <t>École nationale supérieure de création industrielle</t>
  </si>
  <si>
    <t>École nationale supérieure des métiers de l'image et du son</t>
  </si>
  <si>
    <t>Institut national du patrimoine</t>
  </si>
  <si>
    <t>Opérateur du patrimoine et des projets immobiliers de la Culture</t>
  </si>
  <si>
    <t>Programme presse, livre et industries culturelles</t>
  </si>
  <si>
    <t>Bibliothèque nationale de France</t>
  </si>
  <si>
    <t>Bibliothèque publique d'information</t>
  </si>
  <si>
    <t>Cinémathèque française*</t>
  </si>
  <si>
    <t>Centre national du livre</t>
  </si>
  <si>
    <t>Programme recherche culturelle  et culture scientifique</t>
  </si>
  <si>
    <t>Universcience</t>
  </si>
  <si>
    <t>EP : établissement public.</t>
  </si>
  <si>
    <t>Subventions pour charges de service public et le cas échéant, transferts et dotations en fonds propres</t>
  </si>
  <si>
    <t>Certains opérateurs peuvent recevoir des subventions imputées sur plusieurs programmes du périmètre ministériel</t>
  </si>
  <si>
    <t>du ministère de la Culture et de la Communication ou d'autres ministères comme les programmes</t>
  </si>
  <si>
    <t>Entretien des bâtiments de l'État, formations supérieures et recherche universitaire, elles sont regroupées, pour ces opérateurs, sous le</t>
  </si>
  <si>
    <t>programme chef de file.</t>
  </si>
  <si>
    <t>Y compris transferts et dotations en fonds propres</t>
  </si>
  <si>
    <t>À partir de 2012, le financement de la Cinémathèque et de l'École nationale supérieure des métiers de l'image et du son est assuré par le CNC.</t>
  </si>
  <si>
    <t>A partir de 2012, INHA rattaché au programme 150 Recherche scientifiques et techniques pluridisciplinaires.</t>
  </si>
  <si>
    <t>BUDGET DU MINISTÈRE DE LA CULTURE</t>
  </si>
  <si>
    <t>BUDGET DU MINISTÈRE DE LA CULTURE - LFI</t>
  </si>
  <si>
    <t>SUBVENTIONS AUX OPÉRATEURS DU MINISTÈRE DE LA CULTURE - exécution</t>
  </si>
  <si>
    <t>Source : ministère de l'Action et des Comptes Publics</t>
  </si>
  <si>
    <r>
      <t>Source</t>
    </r>
    <r>
      <rPr>
        <sz val="10"/>
        <rFont val="Arial"/>
        <family val="2"/>
      </rPr>
      <t>: MACP/DEPS</t>
    </r>
  </si>
  <si>
    <t>- Programme 180 Presse et médias</t>
  </si>
  <si>
    <t>En 2017, le programme 313 est supprimé dans le cadre du PLF 2017.</t>
  </si>
  <si>
    <t>En 2017, le programme 313 'Contribution à l'audiovisuel et à la diversité radiophonique' est supprimé dans le cadre du PLF 2017.</t>
  </si>
  <si>
    <t>Monuments Historiques et patrimoine monumental (libellé modifié 2018)</t>
  </si>
  <si>
    <t>Architecture et espaces protégés (libellé modifié 2018)</t>
  </si>
  <si>
    <t>Fonctions de soutien du ministère</t>
  </si>
  <si>
    <t>Développement et professionnalisation de l'emploi dans le spectacle</t>
  </si>
  <si>
    <t>Programme Presse et médias</t>
  </si>
  <si>
    <t>Compagnie internationale de radio et télévision (CIRT)</t>
  </si>
  <si>
    <t>Musée Henner-Moreau</t>
  </si>
  <si>
    <t xml:space="preserve">Les établissements publics Jean-Jacques Henner et Gustave Moreau ont été regroupés au sein d’une entité unique à compter du 1er mars 2017 : </t>
  </si>
  <si>
    <t>l’établissement public du musée national Jean-Jacques Henner et du musée national Gustave Moreau.</t>
  </si>
  <si>
    <t>Conservatoire national supérieur de musique et de danse de Lyon</t>
  </si>
  <si>
    <t>Conservatoire national supérieur de musique et de danse de Paris</t>
  </si>
  <si>
    <t>SUBVENTIONS AUX OPÉRATEURS DU MINISTÈRE DE LA CULTURE  – exécution jusqu’en 2016, LFI en 2017 et PLF en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</si>
</sst>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0.0"/>
    <numFmt numFmtId="165" formatCode="0.0"/>
    <numFmt numFmtId="166" formatCode="_-* #,##0.00&quot; €&quot;_-;\-* #,##0.00&quot; €&quot;_-;_-* \-??&quot; €&quot;_-;_-@_-"/>
    <numFmt numFmtId="167" formatCode="_-* #,##0&quot; €&quot;_-;\-* #,##0&quot; €&quot;_-;_-* \-??&quot; €&quot;_-;_-@_-"/>
  </numFmts>
  <fonts count="25" x14ac:knownFonts="1">
    <font>
      <sz val="10"/>
      <name val="Arial"/>
      <family val="2"/>
    </font>
    <font>
      <sz val="10"/>
      <name val="Arial"/>
      <family val="2"/>
    </font>
    <font>
      <b/>
      <sz val="10"/>
      <name val="Arial"/>
      <family val="2"/>
    </font>
    <font>
      <u/>
      <sz val="10"/>
      <color rgb="FF0000FF"/>
      <name val="Arial"/>
      <family val="2"/>
    </font>
    <font>
      <sz val="12"/>
      <name val="Arial"/>
      <family val="2"/>
    </font>
    <font>
      <i/>
      <sz val="10"/>
      <name val="Arial"/>
      <family val="2"/>
    </font>
    <font>
      <sz val="8"/>
      <name val="Arial"/>
      <family val="2"/>
    </font>
    <font>
      <sz val="10"/>
      <color rgb="FFFF0000"/>
      <name val="Arial"/>
      <family val="2"/>
    </font>
    <font>
      <b/>
      <sz val="10"/>
      <name val="Times New Roman"/>
      <family val="1"/>
    </font>
    <font>
      <sz val="10"/>
      <name val="Times New Roman"/>
      <family val="1"/>
    </font>
    <font>
      <b/>
      <sz val="10"/>
      <color rgb="FFFF0000"/>
      <name val="Arial"/>
      <family val="2"/>
    </font>
    <font>
      <b/>
      <sz val="8"/>
      <name val="Arial"/>
      <family val="2"/>
    </font>
    <font>
      <i/>
      <sz val="9"/>
      <name val="Arial"/>
      <family val="2"/>
    </font>
    <font>
      <b/>
      <sz val="10"/>
      <color rgb="FF000080"/>
      <name val="Arial"/>
      <family val="2"/>
    </font>
    <font>
      <sz val="10"/>
      <color rgb="FF000080"/>
      <name val="Arial"/>
      <family val="2"/>
    </font>
    <font>
      <b/>
      <sz val="10"/>
      <color rgb="FF800080"/>
      <name val="Arial"/>
      <family val="2"/>
    </font>
    <font>
      <sz val="10"/>
      <color rgb="FF800080"/>
      <name val="Arial"/>
      <family val="2"/>
    </font>
    <font>
      <b/>
      <sz val="10"/>
      <color rgb="FF800000"/>
      <name val="Arial"/>
      <family val="2"/>
    </font>
    <font>
      <sz val="8"/>
      <color rgb="FF0000FF"/>
      <name val="Arial"/>
      <family val="2"/>
    </font>
    <font>
      <sz val="10"/>
      <color rgb="FF800080"/>
      <name val="Times New Roman"/>
      <family val="1"/>
    </font>
    <font>
      <sz val="8"/>
      <color rgb="FF800000"/>
      <name val="Arial"/>
      <family val="2"/>
    </font>
    <font>
      <sz val="8"/>
      <color rgb="FFFF0000"/>
      <name val="Arial"/>
      <family val="2"/>
    </font>
    <font>
      <b/>
      <sz val="10"/>
      <color rgb="FF0000FF"/>
      <name val="Arial"/>
      <family val="2"/>
    </font>
    <font>
      <sz val="10"/>
      <color rgb="FF0000FF"/>
      <name val="Arial"/>
      <family val="2"/>
    </font>
    <font>
      <sz val="8"/>
      <color rgb="FFC00000"/>
      <name val="Arial"/>
      <family val="2"/>
    </font>
  </fonts>
  <fills count="3">
    <fill>
      <patternFill patternType="none"/>
    </fill>
    <fill>
      <patternFill patternType="gray125"/>
    </fill>
    <fill>
      <patternFill patternType="solid">
        <fgColor rgb="FFFFFF99"/>
        <bgColor rgb="FFFFFFCC"/>
      </patternFill>
    </fill>
  </fills>
  <borders count="16">
    <border>
      <left/>
      <right/>
      <top/>
      <bottom/>
      <diagonal/>
    </border>
    <border>
      <left style="hair">
        <color rgb="FF808080"/>
      </left>
      <right/>
      <top/>
      <bottom/>
      <diagonal/>
    </border>
    <border>
      <left style="hair">
        <color rgb="FFC0C0C0"/>
      </left>
      <right/>
      <top/>
      <bottom/>
      <diagonal/>
    </border>
    <border>
      <left/>
      <right/>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dotted">
        <color auto="1"/>
      </bottom>
      <diagonal/>
    </border>
    <border>
      <left/>
      <right/>
      <top/>
      <bottom style="dashed">
        <color auto="1"/>
      </bottom>
      <diagonal/>
    </border>
    <border>
      <left/>
      <right/>
      <top style="dotted">
        <color auto="1"/>
      </top>
      <bottom/>
      <diagonal/>
    </border>
  </borders>
  <cellStyleXfs count="4">
    <xf numFmtId="0" fontId="0" fillId="0" borderId="0"/>
    <xf numFmtId="166" fontId="1" fillId="0" borderId="0" applyBorder="0" applyAlignment="0" applyProtection="0"/>
    <xf numFmtId="0" fontId="3" fillId="0" borderId="0" applyBorder="0" applyAlignment="0" applyProtection="0"/>
    <xf numFmtId="43" fontId="1" fillId="0" borderId="0" applyFont="0" applyFill="0" applyBorder="0" applyAlignment="0" applyProtection="0"/>
  </cellStyleXfs>
  <cellXfs count="177">
    <xf numFmtId="0" fontId="0" fillId="0" borderId="0" xfId="0"/>
    <xf numFmtId="0" fontId="2" fillId="0" borderId="0" xfId="0" applyFont="1"/>
    <xf numFmtId="0" fontId="3" fillId="0" borderId="0" xfId="2" applyFont="1" applyBorder="1" applyAlignment="1" applyProtection="1"/>
    <xf numFmtId="0" fontId="4" fillId="0" borderId="0" xfId="0" applyFont="1" applyAlignment="1">
      <alignment horizontal="center"/>
    </xf>
    <xf numFmtId="0" fontId="5" fillId="0" borderId="0" xfId="0" applyFont="1"/>
    <xf numFmtId="0" fontId="0" fillId="0" borderId="0" xfId="0" applyAlignment="1">
      <alignment horizontal="center"/>
    </xf>
    <xf numFmtId="0" fontId="2" fillId="0" borderId="0" xfId="0" applyFont="1" applyAlignment="1">
      <alignment horizontal="center"/>
    </xf>
    <xf numFmtId="0" fontId="0" fillId="0" borderId="1" xfId="0" applyFont="1" applyBorder="1" applyAlignment="1">
      <alignment horizontal="center"/>
    </xf>
    <xf numFmtId="3" fontId="2" fillId="0" borderId="0" xfId="0" applyNumberFormat="1" applyFont="1"/>
    <xf numFmtId="3" fontId="0" fillId="0" borderId="0" xfId="0" applyNumberFormat="1"/>
    <xf numFmtId="3" fontId="0" fillId="0" borderId="1" xfId="0" applyNumberFormat="1" applyBorder="1"/>
    <xf numFmtId="3" fontId="0" fillId="0" borderId="0" xfId="0" applyNumberFormat="1" applyBorder="1"/>
    <xf numFmtId="0" fontId="0" fillId="0" borderId="0" xfId="0" applyBorder="1"/>
    <xf numFmtId="0" fontId="0" fillId="0" borderId="1" xfId="0" applyBorder="1"/>
    <xf numFmtId="0" fontId="6" fillId="0" borderId="0" xfId="0" applyFont="1" applyBorder="1"/>
    <xf numFmtId="0" fontId="0" fillId="0" borderId="2" xfId="0" applyBorder="1"/>
    <xf numFmtId="0" fontId="6" fillId="0" borderId="3" xfId="0" applyFont="1" applyBorder="1"/>
    <xf numFmtId="0" fontId="0" fillId="0" borderId="3" xfId="0" applyBorder="1"/>
    <xf numFmtId="0" fontId="0" fillId="0" borderId="0" xfId="0" applyBorder="1" applyAlignment="1">
      <alignment horizontal="left"/>
    </xf>
    <xf numFmtId="0" fontId="7" fillId="0" borderId="0" xfId="0" applyFont="1"/>
    <xf numFmtId="0" fontId="0" fillId="0" borderId="0" xfId="0" applyFont="1" applyAlignment="1">
      <alignment horizontal="left"/>
    </xf>
    <xf numFmtId="0" fontId="0" fillId="0" borderId="0" xfId="0" applyAlignment="1">
      <alignment horizontal="left"/>
    </xf>
    <xf numFmtId="3" fontId="7" fillId="0" borderId="0" xfId="0" applyNumberFormat="1" applyFont="1"/>
    <xf numFmtId="0" fontId="0" fillId="0" borderId="4" xfId="0" applyBorder="1" applyAlignment="1">
      <alignment horizontal="left"/>
    </xf>
    <xf numFmtId="3" fontId="2" fillId="0" borderId="4" xfId="0" applyNumberFormat="1" applyFont="1" applyBorder="1"/>
    <xf numFmtId="3" fontId="0" fillId="0" borderId="4" xfId="0" applyNumberFormat="1" applyBorder="1"/>
    <xf numFmtId="0" fontId="7" fillId="0" borderId="0" xfId="0" applyFont="1" applyBorder="1"/>
    <xf numFmtId="3" fontId="7" fillId="0" borderId="0" xfId="0" applyNumberFormat="1" applyFont="1" applyBorder="1"/>
    <xf numFmtId="3" fontId="2" fillId="0" borderId="0" xfId="0" applyNumberFormat="1" applyFont="1" applyBorder="1"/>
    <xf numFmtId="3" fontId="0" fillId="0" borderId="0" xfId="0" applyNumberFormat="1" applyFont="1" applyBorder="1"/>
    <xf numFmtId="0" fontId="2" fillId="0" borderId="0" xfId="0" applyFont="1" applyBorder="1" applyAlignment="1">
      <alignment horizontal="center"/>
    </xf>
    <xf numFmtId="3" fontId="2" fillId="0" borderId="0" xfId="0" applyNumberFormat="1" applyFont="1" applyBorder="1" applyAlignment="1">
      <alignment horizontal="center"/>
    </xf>
    <xf numFmtId="3" fontId="2" fillId="0" borderId="0" xfId="0" applyNumberFormat="1" applyFont="1" applyBorder="1" applyAlignment="1">
      <alignment horizontal="center"/>
    </xf>
    <xf numFmtId="0" fontId="8" fillId="0" borderId="0" xfId="0" applyFont="1" applyAlignment="1">
      <alignment wrapText="1"/>
    </xf>
    <xf numFmtId="0" fontId="8" fillId="0" borderId="0" xfId="0" applyFont="1" applyAlignment="1">
      <alignment horizontal="right" vertical="top" wrapText="1"/>
    </xf>
    <xf numFmtId="0" fontId="9" fillId="0" borderId="0" xfId="0" applyFont="1" applyAlignment="1">
      <alignment horizontal="right" vertical="top"/>
    </xf>
    <xf numFmtId="3" fontId="0" fillId="0" borderId="0" xfId="0" applyNumberFormat="1" applyFont="1" applyBorder="1"/>
    <xf numFmtId="3" fontId="0" fillId="0" borderId="0" xfId="0" applyNumberFormat="1" applyFont="1"/>
    <xf numFmtId="0" fontId="6" fillId="0" borderId="0" xfId="0" applyFont="1"/>
    <xf numFmtId="0" fontId="11" fillId="0" borderId="0" xfId="0" applyFont="1"/>
    <xf numFmtId="0" fontId="2" fillId="2" borderId="5" xfId="0" applyFont="1" applyFill="1" applyBorder="1" applyAlignment="1"/>
    <xf numFmtId="0" fontId="2" fillId="2" borderId="6" xfId="0" applyFont="1" applyFill="1" applyBorder="1"/>
    <xf numFmtId="0" fontId="2" fillId="2" borderId="7" xfId="0" applyFont="1" applyFill="1" applyBorder="1"/>
    <xf numFmtId="0" fontId="2" fillId="0" borderId="0" xfId="0" applyFont="1" applyBorder="1"/>
    <xf numFmtId="0" fontId="0" fillId="0" borderId="0" xfId="0" applyBorder="1"/>
    <xf numFmtId="0" fontId="2" fillId="2" borderId="8" xfId="0" applyFont="1" applyFill="1" applyBorder="1"/>
    <xf numFmtId="0" fontId="2" fillId="2" borderId="0" xfId="0" applyFont="1" applyFill="1" applyBorder="1"/>
    <xf numFmtId="0" fontId="2" fillId="2" borderId="9" xfId="0" applyFont="1" applyFill="1" applyBorder="1"/>
    <xf numFmtId="1" fontId="2" fillId="0" borderId="0" xfId="0" applyNumberFormat="1" applyFont="1" applyBorder="1"/>
    <xf numFmtId="0" fontId="2" fillId="2" borderId="10" xfId="0" applyFont="1" applyFill="1" applyBorder="1"/>
    <xf numFmtId="0" fontId="2" fillId="2" borderId="4" xfId="0" applyFont="1" applyFill="1" applyBorder="1"/>
    <xf numFmtId="0" fontId="2" fillId="2" borderId="11" xfId="0" applyFont="1" applyFill="1" applyBorder="1"/>
    <xf numFmtId="0" fontId="0" fillId="0" borderId="6" xfId="0" applyBorder="1"/>
    <xf numFmtId="0" fontId="12" fillId="0" borderId="0" xfId="0" applyFont="1"/>
    <xf numFmtId="0" fontId="2" fillId="0" borderId="12" xfId="0" applyFont="1" applyBorder="1" applyAlignment="1">
      <alignment horizontal="center"/>
    </xf>
    <xf numFmtId="0" fontId="10" fillId="0" borderId="12" xfId="0" applyFont="1" applyBorder="1" applyAlignment="1">
      <alignment horizontal="center"/>
    </xf>
    <xf numFmtId="0" fontId="0" fillId="0" borderId="4" xfId="0" applyBorder="1"/>
    <xf numFmtId="0" fontId="2" fillId="0" borderId="4" xfId="0" applyFont="1" applyBorder="1" applyAlignment="1">
      <alignment horizontal="center"/>
    </xf>
    <xf numFmtId="0" fontId="10" fillId="0" borderId="4" xfId="0" applyFont="1" applyBorder="1" applyAlignment="1">
      <alignment horizontal="center"/>
    </xf>
    <xf numFmtId="164" fontId="2" fillId="0" borderId="0" xfId="0" applyNumberFormat="1" applyFont="1"/>
    <xf numFmtId="164" fontId="2" fillId="0" borderId="6" xfId="0" applyNumberFormat="1" applyFont="1" applyBorder="1"/>
    <xf numFmtId="165" fontId="2" fillId="0" borderId="0" xfId="0" applyNumberFormat="1" applyFont="1" applyBorder="1"/>
    <xf numFmtId="164" fontId="10" fillId="0" borderId="0" xfId="0" applyNumberFormat="1" applyFont="1"/>
    <xf numFmtId="167" fontId="2" fillId="0" borderId="0" xfId="1" applyNumberFormat="1" applyFont="1" applyBorder="1" applyAlignment="1" applyProtection="1"/>
    <xf numFmtId="165" fontId="0" fillId="0" borderId="0" xfId="0" applyNumberFormat="1"/>
    <xf numFmtId="164" fontId="2" fillId="0" borderId="0" xfId="0" applyNumberFormat="1" applyFont="1"/>
    <xf numFmtId="165" fontId="10" fillId="0" borderId="0" xfId="0" applyNumberFormat="1" applyFont="1" applyBorder="1"/>
    <xf numFmtId="165" fontId="2" fillId="0" borderId="0" xfId="0" applyNumberFormat="1" applyFont="1"/>
    <xf numFmtId="167" fontId="2" fillId="0" borderId="0" xfId="0" applyNumberFormat="1" applyFont="1"/>
    <xf numFmtId="164" fontId="0" fillId="0" borderId="0" xfId="0" applyNumberFormat="1" applyFont="1"/>
    <xf numFmtId="164" fontId="0" fillId="0" borderId="0" xfId="0" applyNumberFormat="1"/>
    <xf numFmtId="165" fontId="7" fillId="0" borderId="0" xfId="0" applyNumberFormat="1" applyFont="1"/>
    <xf numFmtId="0" fontId="0" fillId="0" borderId="0" xfId="0" applyFont="1" applyAlignment="1">
      <alignment vertical="top" wrapText="1"/>
    </xf>
    <xf numFmtId="167" fontId="0" fillId="0" borderId="0" xfId="1" applyNumberFormat="1" applyFont="1" applyBorder="1" applyAlignment="1" applyProtection="1"/>
    <xf numFmtId="164" fontId="0" fillId="0" borderId="0" xfId="0" applyNumberFormat="1" applyFont="1" applyAlignment="1">
      <alignment horizontal="right"/>
    </xf>
    <xf numFmtId="164" fontId="0" fillId="0" borderId="0" xfId="0" applyNumberFormat="1"/>
    <xf numFmtId="164" fontId="0" fillId="0" borderId="0" xfId="0" applyNumberFormat="1" applyFont="1"/>
    <xf numFmtId="164" fontId="0" fillId="0" borderId="0" xfId="0" applyNumberFormat="1" applyAlignment="1">
      <alignment horizontal="right"/>
    </xf>
    <xf numFmtId="167" fontId="0" fillId="0" borderId="0" xfId="1" applyNumberFormat="1" applyFont="1" applyBorder="1" applyAlignment="1" applyProtection="1">
      <alignment vertical="top" wrapText="1"/>
    </xf>
    <xf numFmtId="0" fontId="2" fillId="0" borderId="0" xfId="0" applyFont="1"/>
    <xf numFmtId="0" fontId="13" fillId="0" borderId="0" xfId="0" applyFont="1"/>
    <xf numFmtId="164" fontId="2" fillId="0" borderId="0" xfId="0" applyNumberFormat="1" applyFont="1" applyAlignment="1">
      <alignment horizontal="right"/>
    </xf>
    <xf numFmtId="0" fontId="0" fillId="0" borderId="0" xfId="0"/>
    <xf numFmtId="0" fontId="14" fillId="0" borderId="0" xfId="0" applyFont="1"/>
    <xf numFmtId="0" fontId="15" fillId="0" borderId="0" xfId="0" applyFont="1"/>
    <xf numFmtId="164" fontId="15" fillId="0" borderId="0" xfId="0" applyNumberFormat="1" applyFont="1"/>
    <xf numFmtId="0" fontId="2" fillId="0" borderId="0" xfId="0" applyFont="1" applyAlignment="1">
      <alignment horizontal="left"/>
    </xf>
    <xf numFmtId="0" fontId="16" fillId="0" borderId="0" xfId="0" applyFont="1"/>
    <xf numFmtId="164" fontId="16" fillId="0" borderId="0" xfId="0" applyNumberFormat="1" applyFont="1"/>
    <xf numFmtId="0" fontId="2" fillId="0" borderId="0" xfId="0" applyFont="1" applyBorder="1"/>
    <xf numFmtId="164" fontId="2" fillId="0" borderId="0" xfId="0" applyNumberFormat="1" applyFont="1" applyAlignment="1">
      <alignment horizontal="right"/>
    </xf>
    <xf numFmtId="164" fontId="17" fillId="0" borderId="0" xfId="0" applyNumberFormat="1" applyFont="1" applyAlignment="1">
      <alignment horizontal="right"/>
    </xf>
    <xf numFmtId="0" fontId="0" fillId="0" borderId="4" xfId="0" applyBorder="1"/>
    <xf numFmtId="0" fontId="0" fillId="0" borderId="4" xfId="0" applyFont="1" applyBorder="1"/>
    <xf numFmtId="164" fontId="0" fillId="0" borderId="4" xfId="0" applyNumberFormat="1" applyBorder="1" applyAlignment="1">
      <alignment horizontal="right"/>
    </xf>
    <xf numFmtId="164" fontId="17" fillId="0" borderId="4" xfId="0" applyNumberFormat="1" applyFont="1" applyBorder="1" applyAlignment="1">
      <alignment horizontal="right"/>
    </xf>
    <xf numFmtId="164" fontId="0" fillId="0" borderId="4" xfId="0" applyNumberFormat="1" applyFont="1" applyBorder="1" applyAlignment="1">
      <alignment horizontal="right"/>
    </xf>
    <xf numFmtId="0" fontId="18" fillId="0" borderId="0" xfId="0" applyFont="1"/>
    <xf numFmtId="0" fontId="21" fillId="0" borderId="0" xfId="0" applyFont="1" applyAlignment="1"/>
    <xf numFmtId="0" fontId="20" fillId="0" borderId="0" xfId="0" applyFont="1"/>
    <xf numFmtId="0" fontId="10" fillId="0" borderId="0" xfId="0" applyFont="1" applyAlignment="1">
      <alignment horizontal="center"/>
    </xf>
    <xf numFmtId="0" fontId="5" fillId="0" borderId="4" xfId="0" applyFont="1" applyBorder="1"/>
    <xf numFmtId="164" fontId="2" fillId="0" borderId="4" xfId="0" applyNumberFormat="1" applyFont="1" applyBorder="1"/>
    <xf numFmtId="165" fontId="2" fillId="0" borderId="12" xfId="0" applyNumberFormat="1" applyFont="1" applyBorder="1"/>
    <xf numFmtId="165" fontId="2" fillId="0" borderId="4" xfId="0" applyNumberFormat="1" applyFont="1" applyBorder="1"/>
    <xf numFmtId="164" fontId="2" fillId="0" borderId="0" xfId="0" applyNumberFormat="1" applyFont="1" applyBorder="1"/>
    <xf numFmtId="164" fontId="10" fillId="0" borderId="0" xfId="0" applyNumberFormat="1" applyFont="1" applyBorder="1"/>
    <xf numFmtId="165" fontId="0" fillId="0" borderId="0" xfId="0" applyNumberFormat="1" applyBorder="1"/>
    <xf numFmtId="165" fontId="7" fillId="0" borderId="0" xfId="0" applyNumberFormat="1" applyFont="1" applyBorder="1"/>
    <xf numFmtId="164" fontId="0" fillId="0" borderId="0" xfId="0" applyNumberFormat="1" applyBorder="1"/>
    <xf numFmtId="164" fontId="7" fillId="0" borderId="0" xfId="0" applyNumberFormat="1" applyFont="1"/>
    <xf numFmtId="0" fontId="0" fillId="0" borderId="0" xfId="0" applyFont="1" applyAlignment="1">
      <alignment horizontal="right"/>
    </xf>
    <xf numFmtId="164" fontId="7" fillId="0" borderId="0" xfId="0" applyNumberFormat="1" applyFont="1" applyAlignment="1">
      <alignment horizontal="right"/>
    </xf>
    <xf numFmtId="165" fontId="0" fillId="0" borderId="0" xfId="0" applyNumberFormat="1" applyFont="1"/>
    <xf numFmtId="165" fontId="0" fillId="0" borderId="0" xfId="0" applyNumberFormat="1" applyFont="1" applyAlignment="1">
      <alignment horizontal="right"/>
    </xf>
    <xf numFmtId="164" fontId="0" fillId="0" borderId="0" xfId="0" applyNumberFormat="1" applyFont="1" applyAlignment="1">
      <alignment horizontal="right"/>
    </xf>
    <xf numFmtId="164" fontId="22" fillId="0" borderId="0" xfId="0" applyNumberFormat="1" applyFont="1"/>
    <xf numFmtId="0" fontId="0" fillId="0" borderId="0" xfId="0" applyFont="1"/>
    <xf numFmtId="0" fontId="23" fillId="0" borderId="0" xfId="0" applyFont="1"/>
    <xf numFmtId="165" fontId="23" fillId="0" borderId="0" xfId="0" applyNumberFormat="1" applyFont="1" applyBorder="1"/>
    <xf numFmtId="165" fontId="15" fillId="0" borderId="0" xfId="0" applyNumberFormat="1" applyFont="1"/>
    <xf numFmtId="0" fontId="16" fillId="0" borderId="0" xfId="0" applyFont="1"/>
    <xf numFmtId="165" fontId="16" fillId="0" borderId="0" xfId="0" applyNumberFormat="1" applyFont="1"/>
    <xf numFmtId="0" fontId="0" fillId="0" borderId="0" xfId="0" applyFont="1" applyBorder="1"/>
    <xf numFmtId="164" fontId="10" fillId="0" borderId="0" xfId="0" applyNumberFormat="1" applyFont="1" applyBorder="1" applyAlignment="1">
      <alignment horizontal="right"/>
    </xf>
    <xf numFmtId="0" fontId="2" fillId="0" borderId="4" xfId="0" applyFont="1" applyBorder="1"/>
    <xf numFmtId="164" fontId="2" fillId="0" borderId="4" xfId="0" applyNumberFormat="1" applyFont="1" applyBorder="1" applyAlignment="1">
      <alignment horizontal="right"/>
    </xf>
    <xf numFmtId="0" fontId="21" fillId="0" borderId="0" xfId="0" applyFont="1"/>
    <xf numFmtId="0" fontId="0" fillId="0" borderId="0" xfId="0" applyFont="1" applyAlignment="1">
      <alignment horizontal="center"/>
    </xf>
    <xf numFmtId="0" fontId="0" fillId="0" borderId="12" xfId="0" applyFont="1" applyBorder="1" applyAlignment="1">
      <alignment horizontal="center"/>
    </xf>
    <xf numFmtId="0" fontId="2" fillId="0" borderId="12" xfId="0" applyFont="1" applyBorder="1"/>
    <xf numFmtId="3" fontId="2" fillId="0" borderId="12" xfId="0" applyNumberFormat="1" applyFont="1" applyBorder="1"/>
    <xf numFmtId="3" fontId="2" fillId="0" borderId="4" xfId="0" applyNumberFormat="1" applyFont="1" applyBorder="1" applyAlignment="1"/>
    <xf numFmtId="0" fontId="0" fillId="0" borderId="0" xfId="0" applyAlignment="1"/>
    <xf numFmtId="3" fontId="0" fillId="0" borderId="0" xfId="0" applyNumberFormat="1" applyFont="1" applyAlignment="1">
      <alignment horizontal="right" vertical="top"/>
    </xf>
    <xf numFmtId="3" fontId="0" fillId="0" borderId="0" xfId="0" applyNumberFormat="1" applyFont="1" applyAlignment="1">
      <alignment horizontal="right"/>
    </xf>
    <xf numFmtId="3" fontId="0" fillId="0" borderId="0" xfId="0" applyNumberFormat="1" applyFont="1" applyBorder="1" applyAlignment="1">
      <alignment horizontal="right"/>
    </xf>
    <xf numFmtId="3" fontId="7" fillId="0" borderId="0" xfId="0" applyNumberFormat="1" applyFont="1" applyAlignment="1">
      <alignment horizontal="right" vertical="top"/>
    </xf>
    <xf numFmtId="3" fontId="0" fillId="0" borderId="13" xfId="0" applyNumberFormat="1" applyFont="1" applyBorder="1"/>
    <xf numFmtId="3" fontId="0" fillId="0" borderId="13" xfId="0" applyNumberFormat="1" applyFont="1" applyBorder="1" applyAlignment="1">
      <alignment horizontal="right"/>
    </xf>
    <xf numFmtId="3" fontId="0" fillId="0" borderId="13" xfId="0" applyNumberFormat="1" applyBorder="1"/>
    <xf numFmtId="3" fontId="0" fillId="0" borderId="13" xfId="0" applyNumberFormat="1" applyFont="1" applyBorder="1" applyAlignment="1">
      <alignment horizontal="right" vertical="top"/>
    </xf>
    <xf numFmtId="3" fontId="0" fillId="0" borderId="0" xfId="0" applyNumberFormat="1" applyAlignment="1"/>
    <xf numFmtId="0" fontId="0" fillId="0" borderId="13" xfId="0" applyFont="1" applyBorder="1"/>
    <xf numFmtId="3" fontId="0" fillId="0" borderId="14" xfId="0" applyNumberFormat="1" applyBorder="1"/>
    <xf numFmtId="0" fontId="0" fillId="0" borderId="13" xfId="0" applyFont="1" applyBorder="1" applyAlignment="1">
      <alignment horizontal="right"/>
    </xf>
    <xf numFmtId="3" fontId="0" fillId="0" borderId="4" xfId="0" applyNumberFormat="1" applyFont="1" applyBorder="1" applyAlignment="1">
      <alignment horizontal="right" vertical="top"/>
    </xf>
    <xf numFmtId="0" fontId="2" fillId="0" borderId="0" xfId="0" quotePrefix="1" applyFont="1"/>
    <xf numFmtId="164" fontId="0" fillId="0" borderId="0" xfId="0" applyNumberFormat="1" applyFont="1" applyBorder="1" applyAlignment="1">
      <alignment horizontal="right"/>
    </xf>
    <xf numFmtId="0" fontId="24" fillId="0" borderId="0" xfId="0" applyFont="1"/>
    <xf numFmtId="0" fontId="0" fillId="0" borderId="0" xfId="0" applyFont="1" applyBorder="1" applyAlignment="1">
      <alignment horizontal="left"/>
    </xf>
    <xf numFmtId="0" fontId="0" fillId="0" borderId="0" xfId="0" applyAlignment="1">
      <alignment vertical="top" wrapText="1"/>
    </xf>
    <xf numFmtId="164" fontId="0" fillId="0" borderId="0" xfId="0" applyNumberFormat="1" applyFont="1" applyBorder="1"/>
    <xf numFmtId="164" fontId="0" fillId="0" borderId="0" xfId="0" applyNumberFormat="1" applyFont="1" applyAlignment="1">
      <alignment horizontal="right" vertical="center" wrapText="1"/>
    </xf>
    <xf numFmtId="165" fontId="0" fillId="0" borderId="0" xfId="0" applyNumberFormat="1" applyFont="1" applyBorder="1"/>
    <xf numFmtId="165" fontId="0" fillId="0" borderId="0" xfId="0" applyNumberFormat="1" applyFont="1" applyAlignment="1">
      <alignment horizontal="right" vertical="center" wrapText="1"/>
    </xf>
    <xf numFmtId="164" fontId="0" fillId="0" borderId="0" xfId="0" applyNumberFormat="1" applyFont="1" applyAlignment="1">
      <alignment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6" fillId="0" borderId="0" xfId="0" applyFont="1" applyBorder="1" applyAlignment="1">
      <alignment horizontal="left" vertical="center"/>
    </xf>
    <xf numFmtId="0" fontId="0" fillId="0" borderId="0" xfId="0" applyFont="1" applyAlignment="1"/>
    <xf numFmtId="3" fontId="0" fillId="0" borderId="0" xfId="0" applyNumberFormat="1" applyFont="1" applyBorder="1" applyAlignment="1">
      <alignment horizontal="right" vertical="top"/>
    </xf>
    <xf numFmtId="0" fontId="2" fillId="0" borderId="15" xfId="0" applyFont="1" applyBorder="1"/>
    <xf numFmtId="3" fontId="2" fillId="0" borderId="15" xfId="0" applyNumberFormat="1" applyFont="1" applyBorder="1"/>
    <xf numFmtId="0" fontId="0" fillId="0" borderId="15" xfId="0" applyBorder="1"/>
    <xf numFmtId="3" fontId="0" fillId="0" borderId="15" xfId="0" applyNumberFormat="1" applyBorder="1" applyAlignment="1"/>
    <xf numFmtId="0" fontId="7" fillId="0" borderId="0" xfId="0" applyFont="1" applyAlignment="1"/>
    <xf numFmtId="3" fontId="0" fillId="0" borderId="0" xfId="3" applyNumberFormat="1" applyFont="1" applyBorder="1" applyAlignment="1">
      <alignment horizontal="right"/>
    </xf>
    <xf numFmtId="3" fontId="7" fillId="0" borderId="0" xfId="0" applyNumberFormat="1" applyFont="1" applyBorder="1" applyAlignment="1">
      <alignment horizontal="right"/>
    </xf>
    <xf numFmtId="3" fontId="0" fillId="0" borderId="0" xfId="0" applyNumberFormat="1" applyFont="1" applyBorder="1" applyAlignment="1">
      <alignment horizontal="right" vertical="center" wrapText="1"/>
    </xf>
    <xf numFmtId="3" fontId="7" fillId="0" borderId="0" xfId="0" applyNumberFormat="1" applyFont="1" applyBorder="1" applyAlignment="1">
      <alignment horizontal="right" vertical="center" wrapText="1"/>
    </xf>
    <xf numFmtId="0" fontId="7" fillId="0" borderId="0" xfId="0" applyFont="1" applyAlignment="1">
      <alignment horizontal="center"/>
    </xf>
    <xf numFmtId="3" fontId="7" fillId="0" borderId="15" xfId="0" applyNumberFormat="1" applyFont="1" applyBorder="1" applyAlignment="1"/>
    <xf numFmtId="3" fontId="7" fillId="0" borderId="13" xfId="0" applyNumberFormat="1" applyFont="1" applyBorder="1" applyAlignment="1">
      <alignment horizontal="right" vertical="top"/>
    </xf>
    <xf numFmtId="3" fontId="7" fillId="0" borderId="0" xfId="0" applyNumberFormat="1" applyFont="1" applyAlignment="1"/>
    <xf numFmtId="3" fontId="0" fillId="0" borderId="13" xfId="0" applyNumberFormat="1" applyFont="1" applyBorder="1" applyAlignment="1">
      <alignment horizontal="right" vertical="center" wrapText="1"/>
    </xf>
    <xf numFmtId="3" fontId="7" fillId="0" borderId="13" xfId="0" applyNumberFormat="1" applyFont="1" applyBorder="1" applyAlignment="1">
      <alignment horizontal="right"/>
    </xf>
  </cellXfs>
  <cellStyles count="4">
    <cellStyle name="Lien hypertexte" xfId="2" builtinId="8"/>
    <cellStyle name="Milliers" xfId="3" builtinId="3"/>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workbookViewId="0">
      <selection activeCell="A24" sqref="A24"/>
    </sheetView>
  </sheetViews>
  <sheetFormatPr baseColWidth="10" defaultColWidth="9.140625" defaultRowHeight="12.75" x14ac:dyDescent="0.2"/>
  <cols>
    <col min="1" max="1" width="107.140625"/>
    <col min="4" max="4" width="95"/>
  </cols>
  <sheetData>
    <row r="1" spans="1:3" x14ac:dyDescent="0.2">
      <c r="A1" s="1" t="s">
        <v>0</v>
      </c>
    </row>
    <row r="7" spans="1:3" ht="15" x14ac:dyDescent="0.2">
      <c r="A7" s="2" t="s">
        <v>173</v>
      </c>
      <c r="B7" s="3"/>
      <c r="C7" s="3"/>
    </row>
    <row r="8" spans="1:3" ht="15" x14ac:dyDescent="0.2">
      <c r="A8" s="2" t="s">
        <v>174</v>
      </c>
      <c r="B8" s="3"/>
      <c r="C8" s="3"/>
    </row>
    <row r="9" spans="1:3" ht="15" x14ac:dyDescent="0.2">
      <c r="A9" s="2" t="s">
        <v>2</v>
      </c>
      <c r="B9" s="3"/>
      <c r="C9" s="3"/>
    </row>
    <row r="10" spans="1:3" ht="15" x14ac:dyDescent="0.2">
      <c r="A10" s="2" t="s">
        <v>175</v>
      </c>
      <c r="B10" s="3"/>
      <c r="C10" s="3"/>
    </row>
  </sheetData>
  <hyperlinks>
    <hyperlink ref="A7" location="'budget MCC total série longue '!A1" display="BUDGET DU MINISTÈRE DE LA CULTURE ET DE LA COMMUNICATION"/>
    <hyperlink ref="A8" location="'budget MCC LFItype de dépense'!A8" display="BUDGET DU MINISTÈRE DE LA CULTURE ET DE LA COMMUNICATION - LFI"/>
    <hyperlink ref="A9" location="'budget MCC LFIaction'!A9" display="Répartition des crédits budgétaires par mission, programme et action LFI"/>
    <hyperlink ref="A10" location="'opérateurs exécuté'!A6" display="SUBVENTIONS AUX OPÉRATEURS DU MINISTÈRE DE LA CULTURE ET DE LA COMMUNICATION - exécution"/>
  </hyperlink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8"/>
  <sheetViews>
    <sheetView tabSelected="1" zoomScaleNormal="100" workbookViewId="0">
      <selection activeCell="H14" sqref="H14"/>
    </sheetView>
  </sheetViews>
  <sheetFormatPr baseColWidth="10" defaultColWidth="9.140625" defaultRowHeight="12.75" x14ac:dyDescent="0.2"/>
  <cols>
    <col min="3" max="3" width="12.85546875"/>
    <col min="5" max="5" width="13.28515625"/>
    <col min="9" max="9" width="35.42578125"/>
    <col min="10" max="10" width="12.85546875"/>
    <col min="11" max="11" width="13.28515625"/>
    <col min="12" max="12" width="14.42578125"/>
    <col min="13" max="14" width="14.7109375"/>
  </cols>
  <sheetData>
    <row r="2" spans="1:10" x14ac:dyDescent="0.2">
      <c r="A2" s="1" t="s">
        <v>1</v>
      </c>
    </row>
    <row r="3" spans="1:10" x14ac:dyDescent="0.2">
      <c r="A3" s="4" t="s">
        <v>177</v>
      </c>
    </row>
    <row r="4" spans="1:10" x14ac:dyDescent="0.2">
      <c r="A4" s="4" t="s">
        <v>3</v>
      </c>
    </row>
    <row r="5" spans="1:10" x14ac:dyDescent="0.2">
      <c r="A5" s="5"/>
      <c r="B5" s="6" t="s">
        <v>4</v>
      </c>
      <c r="C5" s="5" t="s">
        <v>5</v>
      </c>
      <c r="D5" s="5" t="s">
        <v>6</v>
      </c>
      <c r="E5" s="7" t="s">
        <v>7</v>
      </c>
      <c r="F5" s="5"/>
    </row>
    <row r="6" spans="1:10" x14ac:dyDescent="0.2">
      <c r="A6" s="5"/>
      <c r="B6" s="5"/>
      <c r="C6" s="5" t="s">
        <v>8</v>
      </c>
      <c r="D6" s="5" t="s">
        <v>9</v>
      </c>
      <c r="E6" s="7" t="s">
        <v>10</v>
      </c>
      <c r="F6" s="5"/>
    </row>
    <row r="7" spans="1:10" x14ac:dyDescent="0.2">
      <c r="A7">
        <v>1959</v>
      </c>
      <c r="B7" s="8">
        <v>27.2883740854965</v>
      </c>
      <c r="C7" s="9">
        <v>19.208576171913698</v>
      </c>
      <c r="D7" s="9">
        <v>8.07979791358275</v>
      </c>
      <c r="E7" s="10">
        <v>9.7567371031942702</v>
      </c>
      <c r="F7" s="11"/>
      <c r="G7" s="8"/>
      <c r="H7" s="9"/>
      <c r="I7" s="9"/>
      <c r="J7" s="9"/>
    </row>
    <row r="8" spans="1:10" x14ac:dyDescent="0.2">
      <c r="A8">
        <v>1960</v>
      </c>
      <c r="B8" s="8">
        <v>33.996130843942503</v>
      </c>
      <c r="C8" s="9">
        <v>22.714903568374101</v>
      </c>
      <c r="D8" s="9">
        <v>11.2812272755684</v>
      </c>
      <c r="E8" s="10">
        <v>12.9581664651799</v>
      </c>
      <c r="F8" s="9"/>
      <c r="G8" s="8"/>
      <c r="H8" s="9"/>
      <c r="I8" s="9"/>
      <c r="J8" s="9"/>
    </row>
    <row r="9" spans="1:10" x14ac:dyDescent="0.2">
      <c r="A9">
        <v>1961</v>
      </c>
      <c r="B9" s="8">
        <v>39.026948412777102</v>
      </c>
      <c r="C9" s="9">
        <v>24.696740792460499</v>
      </c>
      <c r="D9" s="9">
        <v>14.3302076203166</v>
      </c>
      <c r="E9" s="10">
        <v>16.4644938616403</v>
      </c>
      <c r="F9" s="9"/>
      <c r="G9" s="8"/>
      <c r="H9" s="9"/>
      <c r="I9" s="9"/>
      <c r="J9" s="9"/>
    </row>
    <row r="10" spans="1:10" x14ac:dyDescent="0.2">
      <c r="A10">
        <v>1962</v>
      </c>
      <c r="B10" s="8">
        <v>40.703887602388598</v>
      </c>
      <c r="C10" s="9">
        <v>26.831027033784199</v>
      </c>
      <c r="D10" s="9">
        <v>13.872860568604301</v>
      </c>
      <c r="E10" s="10">
        <v>17.9889840340144</v>
      </c>
      <c r="F10" s="9"/>
      <c r="G10" s="8"/>
      <c r="H10" s="9"/>
      <c r="I10" s="9"/>
      <c r="J10" s="9"/>
    </row>
    <row r="11" spans="1:10" x14ac:dyDescent="0.2">
      <c r="A11">
        <v>1963</v>
      </c>
      <c r="B11" s="8">
        <v>45.582256153985703</v>
      </c>
      <c r="C11" s="9">
        <v>29.4226603268202</v>
      </c>
      <c r="D11" s="9">
        <v>16.1595958271655</v>
      </c>
      <c r="E11" s="10">
        <v>25.611434895884901</v>
      </c>
      <c r="F11" s="9"/>
      <c r="G11" s="8"/>
      <c r="H11" s="9"/>
      <c r="I11" s="9"/>
      <c r="J11" s="9"/>
    </row>
    <row r="12" spans="1:10" x14ac:dyDescent="0.2">
      <c r="A12">
        <v>1964</v>
      </c>
      <c r="B12" s="8">
        <v>50.765522740057698</v>
      </c>
      <c r="C12" s="9">
        <v>31.5569465681439</v>
      </c>
      <c r="D12" s="9">
        <v>19.208576171913698</v>
      </c>
      <c r="E12" s="10">
        <v>30.4898034474821</v>
      </c>
      <c r="F12" s="9"/>
      <c r="G12" s="8"/>
      <c r="H12" s="9"/>
      <c r="I12" s="9"/>
      <c r="J12" s="9"/>
    </row>
    <row r="13" spans="1:10" x14ac:dyDescent="0.2">
      <c r="A13">
        <v>1965</v>
      </c>
      <c r="B13" s="8">
        <v>52.290012912431798</v>
      </c>
      <c r="C13" s="9">
        <v>33.691232809467699</v>
      </c>
      <c r="D13" s="9">
        <v>18.598780102964099</v>
      </c>
      <c r="E13" s="10">
        <v>30.642252464719501</v>
      </c>
      <c r="F13" s="9"/>
      <c r="G13" s="8"/>
      <c r="H13" s="9"/>
      <c r="I13" s="9"/>
      <c r="J13" s="9"/>
    </row>
    <row r="14" spans="1:10" x14ac:dyDescent="0.2">
      <c r="A14">
        <v>1966</v>
      </c>
      <c r="B14" s="8">
        <v>55.034095222705098</v>
      </c>
      <c r="C14" s="9">
        <v>35.9779680680289</v>
      </c>
      <c r="D14" s="9">
        <v>19.0561271546763</v>
      </c>
      <c r="E14" s="10">
        <v>31.861844602618799</v>
      </c>
      <c r="F14" s="9"/>
      <c r="G14" s="8"/>
      <c r="H14" s="9"/>
      <c r="I14" s="9"/>
      <c r="J14" s="9"/>
    </row>
    <row r="15" spans="1:10" x14ac:dyDescent="0.2">
      <c r="A15">
        <v>1967</v>
      </c>
      <c r="B15" s="8">
        <v>70.126547929208797</v>
      </c>
      <c r="C15" s="9">
        <v>41.161234654100802</v>
      </c>
      <c r="D15" s="9">
        <v>28.965313275107999</v>
      </c>
      <c r="E15" s="10">
        <v>35.368171999079202</v>
      </c>
      <c r="F15" s="9"/>
      <c r="G15" s="8"/>
      <c r="H15" s="9"/>
      <c r="I15" s="9"/>
      <c r="J15" s="9"/>
    </row>
    <row r="16" spans="1:10" x14ac:dyDescent="0.2">
      <c r="A16">
        <v>1968</v>
      </c>
      <c r="B16" s="8">
        <v>82.627367342676393</v>
      </c>
      <c r="C16" s="9">
        <v>49.850828636633203</v>
      </c>
      <c r="D16" s="9">
        <v>32.776538706043198</v>
      </c>
      <c r="E16" s="10">
        <v>39.941642516201497</v>
      </c>
      <c r="F16" s="9"/>
      <c r="G16" s="8"/>
      <c r="H16" s="9"/>
      <c r="I16" s="9"/>
      <c r="J16" s="9"/>
    </row>
    <row r="17" spans="1:10" x14ac:dyDescent="0.2">
      <c r="A17">
        <v>1969</v>
      </c>
      <c r="B17" s="8">
        <v>92.993900514820297</v>
      </c>
      <c r="C17" s="9">
        <v>58.235524584690801</v>
      </c>
      <c r="D17" s="9">
        <v>34.758375930129603</v>
      </c>
      <c r="E17" s="10">
        <v>40.094091533438899</v>
      </c>
      <c r="F17" s="9"/>
      <c r="G17" s="8"/>
      <c r="H17" s="9"/>
      <c r="I17" s="9"/>
      <c r="J17" s="9"/>
    </row>
    <row r="18" spans="1:10" x14ac:dyDescent="0.2">
      <c r="A18">
        <v>1970</v>
      </c>
      <c r="B18" s="8">
        <v>89.487573118359904</v>
      </c>
      <c r="C18" s="9">
        <v>60.674708860489297</v>
      </c>
      <c r="D18" s="9">
        <v>28.812864257870601</v>
      </c>
      <c r="E18" s="10">
        <v>33.843681826705101</v>
      </c>
      <c r="F18" s="9"/>
      <c r="G18" s="8"/>
      <c r="H18" s="9"/>
      <c r="I18" s="9"/>
      <c r="J18" s="9"/>
    </row>
    <row r="19" spans="1:10" x14ac:dyDescent="0.2">
      <c r="A19">
        <v>1971</v>
      </c>
      <c r="B19" s="8">
        <v>101.988392531828</v>
      </c>
      <c r="C19" s="9">
        <v>70.736343998158404</v>
      </c>
      <c r="D19" s="9">
        <v>31.2520485336691</v>
      </c>
      <c r="E19" s="10">
        <v>38.112254309352601</v>
      </c>
      <c r="F19" s="9"/>
      <c r="G19" s="8"/>
      <c r="H19" s="9"/>
      <c r="I19" s="9"/>
      <c r="J19" s="9"/>
    </row>
    <row r="20" spans="1:10" x14ac:dyDescent="0.2">
      <c r="A20">
        <v>1972</v>
      </c>
      <c r="B20" s="8">
        <v>128.81941956561201</v>
      </c>
      <c r="C20" s="9">
        <v>81.8651222564894</v>
      </c>
      <c r="D20" s="9">
        <v>46.954297309122403</v>
      </c>
      <c r="E20" s="10">
        <v>58.692871636402998</v>
      </c>
      <c r="F20" s="9"/>
      <c r="G20" s="8"/>
      <c r="H20" s="9"/>
      <c r="I20" s="9"/>
      <c r="J20" s="9"/>
    </row>
    <row r="21" spans="1:10" x14ac:dyDescent="0.2">
      <c r="A21">
        <v>1973</v>
      </c>
      <c r="B21" s="8">
        <v>163.88269353021599</v>
      </c>
      <c r="C21" s="9">
        <v>97.872269066417502</v>
      </c>
      <c r="D21" s="9">
        <v>66.010424463798699</v>
      </c>
      <c r="E21" s="10">
        <v>73.480426308431802</v>
      </c>
      <c r="F21" s="9"/>
      <c r="G21" s="8"/>
      <c r="H21" s="9"/>
      <c r="I21" s="9"/>
      <c r="J21" s="9"/>
    </row>
    <row r="22" spans="1:10" x14ac:dyDescent="0.2">
      <c r="A22">
        <v>1974</v>
      </c>
      <c r="B22" s="8">
        <v>203.06209096023099</v>
      </c>
      <c r="C22" s="9">
        <v>115.86125310043199</v>
      </c>
      <c r="D22" s="9">
        <v>87.200837859798696</v>
      </c>
      <c r="E22" s="10">
        <v>84.914102601237602</v>
      </c>
      <c r="F22" s="9"/>
      <c r="G22" s="8"/>
      <c r="H22" s="9"/>
      <c r="I22" s="9"/>
      <c r="J22" s="9"/>
    </row>
    <row r="23" spans="1:10" x14ac:dyDescent="0.2">
      <c r="A23">
        <v>1975</v>
      </c>
      <c r="B23" s="8">
        <v>222</v>
      </c>
      <c r="C23" s="9">
        <v>140.25309585841799</v>
      </c>
      <c r="D23" s="9">
        <v>81.255326187539694</v>
      </c>
      <c r="E23" s="10">
        <v>78.358794860028894</v>
      </c>
      <c r="F23" s="9"/>
      <c r="G23" s="8"/>
      <c r="H23" s="9"/>
      <c r="I23" s="9"/>
      <c r="J23" s="9"/>
    </row>
    <row r="24" spans="1:10" x14ac:dyDescent="0.2">
      <c r="A24">
        <v>1976</v>
      </c>
      <c r="B24" s="8">
        <v>244.68067266604399</v>
      </c>
      <c r="C24" s="9">
        <v>187.05494415030299</v>
      </c>
      <c r="D24" s="9">
        <v>57.625728515741102</v>
      </c>
      <c r="E24" s="10">
        <v>83.846959480575705</v>
      </c>
      <c r="F24" s="9"/>
      <c r="G24" s="8"/>
      <c r="H24" s="9"/>
      <c r="I24" s="9"/>
      <c r="J24" s="9"/>
    </row>
    <row r="25" spans="1:10" x14ac:dyDescent="0.2">
      <c r="A25">
        <v>1977</v>
      </c>
      <c r="B25" s="8">
        <v>284.62231518224502</v>
      </c>
      <c r="C25" s="9">
        <v>224.86230042518</v>
      </c>
      <c r="D25" s="9">
        <v>59.760014757064901</v>
      </c>
      <c r="E25" s="10">
        <v>73.785324342906605</v>
      </c>
      <c r="F25" s="9"/>
      <c r="G25" s="8"/>
      <c r="H25" s="9"/>
      <c r="I25" s="9"/>
      <c r="J25" s="9"/>
    </row>
    <row r="26" spans="1:10" x14ac:dyDescent="0.2">
      <c r="A26">
        <v>1978</v>
      </c>
      <c r="B26" s="8">
        <v>339.80885942218799</v>
      </c>
      <c r="C26" s="9">
        <v>261.90741161387098</v>
      </c>
      <c r="D26" s="9">
        <v>77.901447808316703</v>
      </c>
      <c r="E26" s="10">
        <v>85.981245721899498</v>
      </c>
      <c r="F26" s="9"/>
      <c r="G26" s="8"/>
      <c r="H26" s="9"/>
      <c r="I26" s="9"/>
      <c r="J26" s="9"/>
    </row>
    <row r="27" spans="1:10" x14ac:dyDescent="0.2">
      <c r="A27">
        <v>1979</v>
      </c>
      <c r="B27" s="8">
        <v>361.45661986990001</v>
      </c>
      <c r="C27" s="9">
        <v>263.43190178624502</v>
      </c>
      <c r="D27" s="9">
        <v>98.024718083654903</v>
      </c>
      <c r="E27" s="10">
        <v>105.79961796276299</v>
      </c>
      <c r="F27" s="9"/>
      <c r="G27" s="8"/>
      <c r="H27" s="9"/>
      <c r="I27" s="9"/>
      <c r="J27" s="9"/>
    </row>
    <row r="28" spans="1:10" x14ac:dyDescent="0.2">
      <c r="A28">
        <v>1980</v>
      </c>
      <c r="B28" s="8">
        <v>404.75214076532501</v>
      </c>
      <c r="C28" s="9">
        <v>296.97068557847501</v>
      </c>
      <c r="D28" s="9">
        <v>107.781455186849</v>
      </c>
      <c r="E28" s="10">
        <v>144.52166834106501</v>
      </c>
      <c r="F28" s="9"/>
      <c r="G28" s="8"/>
      <c r="H28" s="9"/>
      <c r="I28" s="9"/>
      <c r="J28" s="9"/>
    </row>
    <row r="29" spans="1:10" x14ac:dyDescent="0.2">
      <c r="A29">
        <v>1981</v>
      </c>
      <c r="B29" s="8">
        <v>453.84072431577101</v>
      </c>
      <c r="C29" s="9">
        <v>329.137428215569</v>
      </c>
      <c r="D29" s="9">
        <v>124.703296100202</v>
      </c>
      <c r="E29" s="10">
        <v>144.36921932382799</v>
      </c>
      <c r="F29" s="9"/>
      <c r="G29" s="8"/>
      <c r="H29" s="9"/>
      <c r="I29" s="9"/>
      <c r="J29" s="9"/>
    </row>
    <row r="30" spans="1:10" x14ac:dyDescent="0.2">
      <c r="A30">
        <v>1982</v>
      </c>
      <c r="B30" s="8">
        <v>913.77940932103797</v>
      </c>
      <c r="C30" s="9">
        <v>684.34363837873502</v>
      </c>
      <c r="D30" s="9">
        <v>230</v>
      </c>
      <c r="E30" s="10">
        <v>297.27558361295002</v>
      </c>
      <c r="F30" s="9"/>
      <c r="G30" s="8"/>
      <c r="H30" s="9"/>
      <c r="I30" s="9"/>
      <c r="J30" s="9"/>
    </row>
    <row r="31" spans="1:10" x14ac:dyDescent="0.2">
      <c r="A31">
        <v>1983</v>
      </c>
      <c r="B31" s="8">
        <v>1065.6186304895</v>
      </c>
      <c r="C31" s="9">
        <v>815.60224222014494</v>
      </c>
      <c r="D31" s="9">
        <v>250.016388269353</v>
      </c>
      <c r="E31" s="10">
        <v>548.51156402020297</v>
      </c>
      <c r="F31" s="9"/>
      <c r="G31" s="8"/>
      <c r="H31" s="9"/>
      <c r="I31" s="9"/>
      <c r="J31" s="9"/>
    </row>
    <row r="32" spans="1:10" x14ac:dyDescent="0.2">
      <c r="A32">
        <v>1984</v>
      </c>
      <c r="B32" s="8">
        <v>1227.0621397439199</v>
      </c>
      <c r="C32" s="9">
        <v>876.73429813234702</v>
      </c>
      <c r="D32" s="9">
        <v>350.327841611569</v>
      </c>
      <c r="E32" s="10">
        <v>414.50887786851899</v>
      </c>
      <c r="F32" s="9"/>
      <c r="G32" s="8"/>
      <c r="H32" s="9"/>
      <c r="I32" s="9"/>
      <c r="J32" s="9"/>
    </row>
    <row r="33" spans="1:10" x14ac:dyDescent="0.2">
      <c r="A33">
        <v>1985</v>
      </c>
      <c r="B33" s="8">
        <v>1305.87828165566</v>
      </c>
      <c r="C33" s="9">
        <v>874.90490992549803</v>
      </c>
      <c r="D33" s="9">
        <v>430.97337173015899</v>
      </c>
      <c r="E33" s="10">
        <v>566.65299707145402</v>
      </c>
      <c r="F33" s="9"/>
      <c r="G33" s="8"/>
      <c r="H33" s="9"/>
      <c r="I33" s="9"/>
      <c r="J33" s="9"/>
    </row>
    <row r="34" spans="1:10" x14ac:dyDescent="0.2">
      <c r="A34">
        <v>1986</v>
      </c>
      <c r="B34" s="8">
        <v>1467.47423992731</v>
      </c>
      <c r="C34" s="9">
        <v>865.757968891254</v>
      </c>
      <c r="D34" s="9">
        <v>601.71627103605897</v>
      </c>
      <c r="E34" s="10">
        <v>639.67607632817396</v>
      </c>
      <c r="F34" s="9"/>
      <c r="G34" s="8"/>
      <c r="H34" s="9"/>
      <c r="I34" s="9"/>
      <c r="J34" s="9"/>
    </row>
    <row r="35" spans="1:10" x14ac:dyDescent="0.2">
      <c r="A35">
        <v>1987</v>
      </c>
      <c r="B35" s="8">
        <v>1370.66911398156</v>
      </c>
      <c r="C35" s="9">
        <v>885.42389211488</v>
      </c>
      <c r="D35" s="9">
        <v>485.24522186667701</v>
      </c>
      <c r="E35" s="10">
        <v>338.28436924981401</v>
      </c>
      <c r="F35" s="9"/>
      <c r="G35" s="8"/>
      <c r="H35" s="9"/>
      <c r="I35" s="9"/>
      <c r="J35" s="9"/>
    </row>
    <row r="36" spans="1:10" x14ac:dyDescent="0.2">
      <c r="A36">
        <v>1988</v>
      </c>
      <c r="B36" s="8">
        <v>1345.2101281029099</v>
      </c>
      <c r="C36" s="9">
        <v>926.43267775174297</v>
      </c>
      <c r="D36" s="9">
        <v>418.77745035116601</v>
      </c>
      <c r="E36" s="10">
        <v>305.20293250929598</v>
      </c>
      <c r="F36" s="9"/>
      <c r="G36" s="8"/>
      <c r="H36" s="9"/>
      <c r="I36" s="9"/>
      <c r="J36" s="9"/>
    </row>
    <row r="37" spans="1:10" x14ac:dyDescent="0.2">
      <c r="A37">
        <v>1989</v>
      </c>
      <c r="B37" s="8">
        <v>1518.3922116846099</v>
      </c>
      <c r="C37" s="9">
        <v>1091.9923104715699</v>
      </c>
      <c r="D37" s="9">
        <v>426.39990121303703</v>
      </c>
      <c r="E37" s="10">
        <v>500.18522555594302</v>
      </c>
      <c r="F37" s="9"/>
      <c r="G37" s="8"/>
      <c r="H37" s="9"/>
      <c r="I37" s="9"/>
      <c r="J37" s="9"/>
    </row>
    <row r="38" spans="1:10" x14ac:dyDescent="0.2">
      <c r="A38">
        <v>1990</v>
      </c>
      <c r="B38" s="8">
        <v>1598.2754967170099</v>
      </c>
      <c r="C38" s="9">
        <v>1164.86294071105</v>
      </c>
      <c r="D38" s="9">
        <v>433.41255600595798</v>
      </c>
      <c r="E38" s="10">
        <v>546.68217581335398</v>
      </c>
      <c r="F38" s="9"/>
      <c r="G38" s="8"/>
      <c r="H38" s="9"/>
      <c r="I38" s="9"/>
      <c r="J38" s="9"/>
    </row>
    <row r="39" spans="1:10" x14ac:dyDescent="0.2">
      <c r="A39">
        <v>1991</v>
      </c>
      <c r="B39" s="8">
        <v>1845.3953536588499</v>
      </c>
      <c r="C39" s="9">
        <v>1235.1419376575</v>
      </c>
      <c r="D39" s="9">
        <v>610.25341600135403</v>
      </c>
      <c r="E39" s="10">
        <v>878.41123732195899</v>
      </c>
      <c r="F39" s="9"/>
      <c r="G39" s="8"/>
      <c r="H39" s="9"/>
      <c r="I39" s="9"/>
      <c r="J39" s="9"/>
    </row>
    <row r="40" spans="1:10" x14ac:dyDescent="0.2">
      <c r="A40">
        <v>1992</v>
      </c>
      <c r="B40" s="8">
        <v>1974.97701831065</v>
      </c>
      <c r="C40" s="9">
        <v>1294.29215634561</v>
      </c>
      <c r="D40" s="9">
        <v>680.68486196503704</v>
      </c>
      <c r="E40" s="10">
        <v>866.21531594296596</v>
      </c>
      <c r="F40" s="9"/>
      <c r="G40" s="8"/>
      <c r="H40" s="9"/>
      <c r="I40" s="9"/>
      <c r="J40" s="9"/>
    </row>
    <row r="41" spans="1:10" x14ac:dyDescent="0.2">
      <c r="A41" s="12">
        <v>1993</v>
      </c>
      <c r="B41" s="8">
        <v>2107.15031625549</v>
      </c>
      <c r="C41" s="9">
        <v>1357.8633965336101</v>
      </c>
      <c r="D41" s="9">
        <v>749.28691972187198</v>
      </c>
      <c r="E41" s="10">
        <v>745.628143308174</v>
      </c>
      <c r="F41" s="9"/>
      <c r="G41" s="8"/>
      <c r="H41" s="9"/>
      <c r="I41" s="9"/>
      <c r="J41" s="9"/>
    </row>
    <row r="42" spans="1:10" x14ac:dyDescent="0.2">
      <c r="A42" s="12">
        <v>1994</v>
      </c>
      <c r="B42" s="8">
        <v>2058.97642680846</v>
      </c>
      <c r="C42" s="9">
        <v>1310.6042011900199</v>
      </c>
      <c r="D42" s="9">
        <v>748.37222561844806</v>
      </c>
      <c r="E42" s="10">
        <v>559.64034227853301</v>
      </c>
      <c r="F42" s="9"/>
      <c r="G42" s="8"/>
      <c r="H42" s="9"/>
      <c r="I42" s="9"/>
      <c r="J42" s="9"/>
    </row>
    <row r="43" spans="1:10" x14ac:dyDescent="0.2">
      <c r="A43" s="12">
        <v>1995</v>
      </c>
      <c r="B43" s="8">
        <v>2066.5988776703398</v>
      </c>
      <c r="C43" s="9">
        <v>1391.85952737756</v>
      </c>
      <c r="D43" s="9">
        <v>674.739350292778</v>
      </c>
      <c r="E43" s="10">
        <v>570.00687545067694</v>
      </c>
      <c r="F43" s="9"/>
      <c r="G43" s="8"/>
      <c r="H43" s="9"/>
      <c r="I43" s="9"/>
      <c r="J43" s="9"/>
    </row>
    <row r="44" spans="1:10" x14ac:dyDescent="0.2">
      <c r="A44" s="12">
        <v>1996</v>
      </c>
      <c r="B44" s="8">
        <v>2367.8381357314602</v>
      </c>
      <c r="C44" s="9">
        <v>1707.73389109347</v>
      </c>
      <c r="D44" s="9">
        <v>660.10424463798699</v>
      </c>
      <c r="E44" s="10">
        <v>588.60565555364099</v>
      </c>
      <c r="F44" s="9"/>
      <c r="G44" s="8"/>
      <c r="H44" s="9"/>
      <c r="I44" s="9"/>
      <c r="J44" s="9"/>
    </row>
    <row r="45" spans="1:10" x14ac:dyDescent="0.2">
      <c r="A45" s="12">
        <v>1997</v>
      </c>
      <c r="B45" s="8">
        <v>2305.9438347330702</v>
      </c>
      <c r="C45" s="9">
        <v>1821.6133069698201</v>
      </c>
      <c r="D45" s="9">
        <v>484.33052776325297</v>
      </c>
      <c r="E45" s="10">
        <v>469.84787112569899</v>
      </c>
      <c r="F45" s="9"/>
      <c r="G45" s="8"/>
      <c r="H45" s="9"/>
      <c r="I45" s="9"/>
      <c r="J45" s="9"/>
    </row>
    <row r="46" spans="1:10" x14ac:dyDescent="0.2">
      <c r="A46" s="12">
        <v>1998</v>
      </c>
      <c r="B46" s="8">
        <v>2308.9928150778201</v>
      </c>
      <c r="C46" s="9">
        <v>1787.4647271086401</v>
      </c>
      <c r="D46" s="9">
        <v>521.528087969181</v>
      </c>
      <c r="E46" s="10">
        <v>564.67115984736802</v>
      </c>
      <c r="F46" s="9"/>
      <c r="G46" s="8"/>
      <c r="H46" s="11"/>
      <c r="I46" s="9"/>
      <c r="J46" s="9"/>
    </row>
    <row r="47" spans="1:10" x14ac:dyDescent="0.2">
      <c r="A47" s="12">
        <v>1999</v>
      </c>
      <c r="B47" s="8">
        <v>2394.9740607997201</v>
      </c>
      <c r="C47" s="9">
        <v>1852.40800845177</v>
      </c>
      <c r="D47" s="9">
        <v>542.56605234794404</v>
      </c>
      <c r="E47" s="10">
        <v>539.36462298595802</v>
      </c>
      <c r="F47" s="9"/>
      <c r="G47" s="8"/>
      <c r="H47" s="11"/>
      <c r="I47" s="9"/>
      <c r="J47" s="9"/>
    </row>
    <row r="48" spans="1:10" x14ac:dyDescent="0.2">
      <c r="A48" s="12">
        <v>2000</v>
      </c>
      <c r="B48" s="8">
        <v>2451.6850952120299</v>
      </c>
      <c r="C48" s="9">
        <v>1908.3567977779001</v>
      </c>
      <c r="D48" s="9">
        <v>543.32829743413095</v>
      </c>
      <c r="E48" s="10">
        <v>565.43340493355504</v>
      </c>
      <c r="F48" s="9"/>
      <c r="G48" s="8"/>
      <c r="H48" s="11"/>
      <c r="I48" s="9"/>
      <c r="J48" s="9"/>
    </row>
    <row r="49" spans="1:14" x14ac:dyDescent="0.2">
      <c r="A49" s="12">
        <v>2001</v>
      </c>
      <c r="B49" s="8">
        <v>2549.2524662439801</v>
      </c>
      <c r="C49" s="9">
        <v>1987.1729396896401</v>
      </c>
      <c r="D49" s="9">
        <v>562.07952655433201</v>
      </c>
      <c r="E49" s="10">
        <v>601.71627103605897</v>
      </c>
      <c r="F49" s="9"/>
      <c r="G49" s="8"/>
      <c r="H49" s="12"/>
    </row>
    <row r="50" spans="1:14" x14ac:dyDescent="0.2">
      <c r="A50" s="12">
        <v>2002</v>
      </c>
      <c r="B50" s="8">
        <f>SUM(C50:D50)</f>
        <v>2610</v>
      </c>
      <c r="C50" s="9">
        <v>2073</v>
      </c>
      <c r="D50" s="9">
        <v>537</v>
      </c>
      <c r="E50" s="13">
        <v>568</v>
      </c>
    </row>
    <row r="51" spans="1:14" x14ac:dyDescent="0.2">
      <c r="A51" s="12">
        <v>2003</v>
      </c>
      <c r="B51" s="8">
        <f>SUM(C51:D51)</f>
        <v>2497</v>
      </c>
      <c r="C51" s="9">
        <v>2176</v>
      </c>
      <c r="D51" s="9">
        <v>321</v>
      </c>
      <c r="E51" s="13">
        <v>568</v>
      </c>
      <c r="I51" s="12"/>
    </row>
    <row r="52" spans="1:14" x14ac:dyDescent="0.2">
      <c r="A52" s="12">
        <v>2004</v>
      </c>
      <c r="B52" s="8">
        <f>SUM(C52:D52)</f>
        <v>2639</v>
      </c>
      <c r="C52" s="9">
        <v>2216</v>
      </c>
      <c r="D52" s="9">
        <v>423</v>
      </c>
      <c r="E52" s="10">
        <v>568</v>
      </c>
      <c r="I52" s="12"/>
    </row>
    <row r="53" spans="1:14" x14ac:dyDescent="0.2">
      <c r="A53" s="14" t="s">
        <v>11</v>
      </c>
      <c r="H53" s="15"/>
      <c r="I53" s="12"/>
    </row>
    <row r="54" spans="1:14" x14ac:dyDescent="0.2">
      <c r="A54" s="14" t="s">
        <v>12</v>
      </c>
      <c r="H54" s="15"/>
    </row>
    <row r="55" spans="1:14" x14ac:dyDescent="0.2">
      <c r="A55" s="16" t="s">
        <v>13</v>
      </c>
      <c r="B55" s="17"/>
      <c r="C55" s="17"/>
      <c r="D55" s="17"/>
      <c r="E55" s="17"/>
      <c r="F55" s="17"/>
      <c r="H55" s="15"/>
    </row>
    <row r="56" spans="1:14" x14ac:dyDescent="0.2">
      <c r="A56" s="1" t="s">
        <v>14</v>
      </c>
      <c r="H56" s="15"/>
    </row>
    <row r="57" spans="1:14" x14ac:dyDescent="0.2">
      <c r="A57" s="1" t="s">
        <v>15</v>
      </c>
      <c r="H57" s="12"/>
    </row>
    <row r="58" spans="1:14" x14ac:dyDescent="0.2">
      <c r="A58" s="12"/>
      <c r="B58" s="5" t="s">
        <v>16</v>
      </c>
      <c r="C58" s="7" t="s">
        <v>17</v>
      </c>
    </row>
    <row r="59" spans="1:14" x14ac:dyDescent="0.2">
      <c r="A59" s="12"/>
      <c r="B59" s="5" t="s">
        <v>18</v>
      </c>
      <c r="C59" s="7" t="s">
        <v>19</v>
      </c>
    </row>
    <row r="60" spans="1:14" x14ac:dyDescent="0.2">
      <c r="A60" s="18">
        <v>2005</v>
      </c>
      <c r="B60" s="8">
        <v>2805</v>
      </c>
      <c r="C60" s="10">
        <v>2823</v>
      </c>
    </row>
    <row r="61" spans="1:14" x14ac:dyDescent="0.2">
      <c r="A61" s="18">
        <v>2006</v>
      </c>
      <c r="B61" s="8">
        <v>2947</v>
      </c>
      <c r="C61" s="10">
        <v>3031</v>
      </c>
    </row>
    <row r="62" spans="1:14" x14ac:dyDescent="0.2">
      <c r="A62" s="18">
        <v>2007</v>
      </c>
      <c r="B62" s="8">
        <v>2839</v>
      </c>
      <c r="C62" s="9">
        <v>2911</v>
      </c>
      <c r="J62" s="19"/>
      <c r="K62" s="19"/>
      <c r="L62" s="19"/>
      <c r="M62" s="19"/>
      <c r="N62" s="19"/>
    </row>
    <row r="63" spans="1:14" x14ac:dyDescent="0.2">
      <c r="A63" s="20">
        <v>2008</v>
      </c>
      <c r="B63" s="8">
        <v>2915</v>
      </c>
      <c r="C63" s="9">
        <v>3038</v>
      </c>
      <c r="J63" s="19"/>
      <c r="K63" s="19"/>
      <c r="L63" s="19"/>
      <c r="M63" s="19"/>
      <c r="N63" s="19"/>
    </row>
    <row r="64" spans="1:14" x14ac:dyDescent="0.2">
      <c r="A64" s="21">
        <v>2009</v>
      </c>
      <c r="B64" s="8">
        <v>2941</v>
      </c>
      <c r="C64" s="9">
        <v>3004</v>
      </c>
      <c r="J64" s="19"/>
      <c r="K64" s="22"/>
      <c r="L64" s="22"/>
      <c r="M64" s="22"/>
      <c r="N64" s="22"/>
    </row>
    <row r="65" spans="1:14" x14ac:dyDescent="0.2">
      <c r="A65" s="23">
        <v>2010</v>
      </c>
      <c r="B65" s="24">
        <v>3079</v>
      </c>
      <c r="C65" s="25">
        <v>3042</v>
      </c>
      <c r="J65" s="19"/>
    </row>
    <row r="66" spans="1:14" x14ac:dyDescent="0.2">
      <c r="A66" s="1" t="s">
        <v>20</v>
      </c>
      <c r="B66" s="8"/>
      <c r="C66" s="9"/>
      <c r="I66" s="12"/>
      <c r="J66" s="26"/>
      <c r="K66" s="27"/>
      <c r="L66" s="22"/>
      <c r="M66" s="22"/>
      <c r="N66" s="22"/>
    </row>
    <row r="67" spans="1:14" x14ac:dyDescent="0.2">
      <c r="A67" s="1" t="s">
        <v>21</v>
      </c>
      <c r="I67" s="12"/>
      <c r="J67" s="26"/>
      <c r="K67" s="27"/>
      <c r="L67" s="22"/>
      <c r="M67" s="22"/>
      <c r="N67" s="22"/>
    </row>
    <row r="68" spans="1:14" x14ac:dyDescent="0.2">
      <c r="A68" s="21">
        <v>2010</v>
      </c>
      <c r="B68" s="8">
        <v>4227</v>
      </c>
      <c r="C68" s="9">
        <v>4186</v>
      </c>
      <c r="I68" s="12"/>
      <c r="J68" s="11"/>
      <c r="K68" s="11"/>
      <c r="L68" s="9"/>
      <c r="M68" s="9"/>
    </row>
    <row r="69" spans="1:14" x14ac:dyDescent="0.2">
      <c r="A69" s="18">
        <v>2011</v>
      </c>
      <c r="B69" s="8">
        <v>4261.3999999999996</v>
      </c>
      <c r="C69" s="9">
        <v>4294</v>
      </c>
      <c r="I69" s="18"/>
      <c r="J69" s="28"/>
      <c r="K69" s="11"/>
      <c r="L69" s="9"/>
      <c r="M69" s="9"/>
    </row>
    <row r="70" spans="1:14" x14ac:dyDescent="0.2">
      <c r="A70" s="18">
        <v>2012</v>
      </c>
      <c r="B70" s="28">
        <v>4121</v>
      </c>
      <c r="C70" s="29">
        <v>3969.7</v>
      </c>
      <c r="E70" s="30"/>
      <c r="F70" s="31"/>
      <c r="G70" s="32"/>
      <c r="H70" s="1"/>
      <c r="I70" s="18"/>
      <c r="J70" s="28"/>
      <c r="K70" s="11"/>
      <c r="L70" s="33"/>
      <c r="M70" s="34"/>
      <c r="N70" s="35"/>
    </row>
    <row r="71" spans="1:14" x14ac:dyDescent="0.2">
      <c r="A71" s="18">
        <v>2013</v>
      </c>
      <c r="B71" s="28">
        <v>3723</v>
      </c>
      <c r="C71" s="36">
        <v>3671</v>
      </c>
      <c r="E71" s="18"/>
      <c r="F71" s="36"/>
      <c r="G71" s="11"/>
      <c r="I71" s="18"/>
      <c r="J71" s="28"/>
      <c r="K71" s="11"/>
      <c r="L71" s="33"/>
      <c r="M71" s="34"/>
      <c r="N71" s="35"/>
    </row>
    <row r="72" spans="1:14" x14ac:dyDescent="0.2">
      <c r="A72" s="18">
        <v>2014</v>
      </c>
      <c r="B72" s="8">
        <v>3515.2617209999999</v>
      </c>
      <c r="C72" s="37">
        <v>3552.8528120000001</v>
      </c>
      <c r="I72" s="18"/>
      <c r="J72" s="28"/>
      <c r="K72" s="11"/>
      <c r="L72" s="34"/>
      <c r="M72" s="33"/>
    </row>
    <row r="73" spans="1:14" x14ac:dyDescent="0.2">
      <c r="A73" s="18">
        <v>2015</v>
      </c>
      <c r="B73" s="8">
        <v>3428.3</v>
      </c>
      <c r="C73" s="37">
        <v>3402.5</v>
      </c>
      <c r="D73" s="19"/>
      <c r="I73" s="18"/>
      <c r="J73" s="28"/>
      <c r="K73" s="11"/>
      <c r="L73" s="34"/>
      <c r="M73" s="34"/>
      <c r="N73" s="35"/>
    </row>
    <row r="74" spans="1:14" x14ac:dyDescent="0.2">
      <c r="A74" s="150">
        <v>2016</v>
      </c>
      <c r="B74" s="8">
        <v>3433.6</v>
      </c>
      <c r="C74" s="37">
        <f>908.529275+737.246588+1142.939167+122.131455+255.315446+266.102044+29.248639</f>
        <v>3461.5126139999998</v>
      </c>
      <c r="D74" s="19"/>
      <c r="I74" s="18"/>
      <c r="J74" s="28"/>
      <c r="K74" s="11"/>
      <c r="L74" s="34"/>
      <c r="M74" s="34"/>
      <c r="N74" s="35"/>
    </row>
    <row r="75" spans="1:14" s="82" customFormat="1" x14ac:dyDescent="0.2">
      <c r="A75" s="150">
        <v>2017</v>
      </c>
      <c r="B75" s="8">
        <v>3597.4286080000002</v>
      </c>
      <c r="C75" s="37">
        <v>3715.122316</v>
      </c>
      <c r="D75" s="19"/>
      <c r="I75" s="18"/>
      <c r="J75" s="28"/>
      <c r="K75" s="11"/>
      <c r="L75" s="34"/>
      <c r="M75" s="34"/>
      <c r="N75" s="35"/>
    </row>
    <row r="76" spans="1:14" s="82" customFormat="1" x14ac:dyDescent="0.2">
      <c r="A76" s="150">
        <v>2018</v>
      </c>
      <c r="B76" s="8">
        <v>3603.5807200000004</v>
      </c>
      <c r="C76" s="37">
        <v>3759.9085849999997</v>
      </c>
      <c r="D76" s="19"/>
      <c r="I76" s="18"/>
      <c r="J76" s="28"/>
      <c r="K76" s="11"/>
      <c r="L76" s="34"/>
      <c r="M76" s="34"/>
      <c r="N76" s="35"/>
    </row>
    <row r="77" spans="1:14" x14ac:dyDescent="0.2">
      <c r="A77" s="38" t="s">
        <v>22</v>
      </c>
      <c r="I77" s="18"/>
      <c r="J77" s="28"/>
      <c r="K77" s="11"/>
      <c r="L77" s="34"/>
      <c r="M77" s="34"/>
      <c r="N77" s="35"/>
    </row>
    <row r="78" spans="1:14" x14ac:dyDescent="0.2">
      <c r="A78" s="39" t="s">
        <v>23</v>
      </c>
      <c r="I78" s="12"/>
      <c r="J78" s="12"/>
      <c r="K78" s="12"/>
      <c r="L78" s="34"/>
      <c r="M78" s="34"/>
      <c r="N78" s="35"/>
    </row>
    <row r="79" spans="1:14" x14ac:dyDescent="0.2">
      <c r="A79" s="38" t="s">
        <v>24</v>
      </c>
      <c r="L79" s="34"/>
      <c r="M79" s="34"/>
      <c r="N79" s="35"/>
    </row>
    <row r="80" spans="1:14" x14ac:dyDescent="0.2">
      <c r="A80" s="38" t="s">
        <v>25</v>
      </c>
      <c r="K80" s="12"/>
      <c r="L80" s="33"/>
      <c r="M80" s="33"/>
      <c r="N80" s="12"/>
    </row>
    <row r="81" spans="1:14" ht="15" customHeight="1" x14ac:dyDescent="0.2">
      <c r="A81" s="40" t="s">
        <v>26</v>
      </c>
      <c r="B81" s="41"/>
      <c r="C81" s="41"/>
      <c r="D81" s="41"/>
      <c r="E81" s="41"/>
      <c r="F81" s="41"/>
      <c r="G81" s="41"/>
      <c r="H81" s="41"/>
      <c r="I81" s="41"/>
      <c r="J81" s="42"/>
      <c r="K81" s="43"/>
      <c r="L81" s="43"/>
      <c r="M81" s="43"/>
      <c r="N81" s="44"/>
    </row>
    <row r="82" spans="1:14" x14ac:dyDescent="0.2">
      <c r="A82" s="45" t="s">
        <v>27</v>
      </c>
      <c r="B82" s="46"/>
      <c r="C82" s="46"/>
      <c r="D82" s="46"/>
      <c r="E82" s="46"/>
      <c r="F82" s="46"/>
      <c r="G82" s="46"/>
      <c r="H82" s="46"/>
      <c r="I82" s="46"/>
      <c r="J82" s="47"/>
      <c r="K82" s="43"/>
      <c r="L82" s="48"/>
      <c r="M82" s="48"/>
      <c r="N82" s="44"/>
    </row>
    <row r="83" spans="1:14" x14ac:dyDescent="0.2">
      <c r="A83" s="45" t="s">
        <v>28</v>
      </c>
      <c r="B83" s="46"/>
      <c r="C83" s="46"/>
      <c r="D83" s="46"/>
      <c r="E83" s="46"/>
      <c r="F83" s="46"/>
      <c r="G83" s="46"/>
      <c r="H83" s="46"/>
      <c r="I83" s="46"/>
      <c r="J83" s="47"/>
      <c r="K83" s="43"/>
      <c r="L83" s="43"/>
      <c r="M83" s="44"/>
      <c r="N83" s="44"/>
    </row>
    <row r="84" spans="1:14" x14ac:dyDescent="0.2">
      <c r="A84" s="45" t="s">
        <v>29</v>
      </c>
      <c r="B84" s="46"/>
      <c r="C84" s="46"/>
      <c r="D84" s="46"/>
      <c r="E84" s="46"/>
      <c r="F84" s="46"/>
      <c r="G84" s="46"/>
      <c r="H84" s="46"/>
      <c r="I84" s="46"/>
      <c r="J84" s="47"/>
      <c r="K84" s="43"/>
      <c r="L84" s="43"/>
      <c r="M84" s="44"/>
      <c r="N84" s="44"/>
    </row>
    <row r="85" spans="1:14" x14ac:dyDescent="0.2">
      <c r="A85" s="45" t="s">
        <v>30</v>
      </c>
      <c r="B85" s="46"/>
      <c r="C85" s="46"/>
      <c r="D85" s="46"/>
      <c r="E85" s="46"/>
      <c r="F85" s="46"/>
      <c r="G85" s="46"/>
      <c r="H85" s="46"/>
      <c r="I85" s="46"/>
      <c r="J85" s="47"/>
      <c r="K85" s="43"/>
      <c r="L85" s="43"/>
      <c r="M85" s="44"/>
      <c r="N85" s="44"/>
    </row>
    <row r="86" spans="1:14" x14ac:dyDescent="0.2">
      <c r="A86" s="49" t="s">
        <v>31</v>
      </c>
      <c r="B86" s="50"/>
      <c r="C86" s="50"/>
      <c r="D86" s="50"/>
      <c r="E86" s="50"/>
      <c r="F86" s="50"/>
      <c r="G86" s="50"/>
      <c r="H86" s="50"/>
      <c r="I86" s="50"/>
      <c r="J86" s="51"/>
      <c r="K86" s="43"/>
      <c r="L86" s="43"/>
      <c r="M86" s="44"/>
      <c r="N86" s="44"/>
    </row>
    <row r="87" spans="1:14" x14ac:dyDescent="0.2">
      <c r="A87" s="52"/>
      <c r="B87" s="52"/>
      <c r="C87" s="52"/>
      <c r="D87" s="52"/>
      <c r="E87" s="52"/>
      <c r="F87" s="52"/>
      <c r="G87" s="52"/>
      <c r="H87" s="52"/>
      <c r="I87" s="52"/>
      <c r="J87" s="52"/>
      <c r="K87" s="44"/>
      <c r="L87" s="44"/>
      <c r="M87" s="44"/>
      <c r="N87" s="44"/>
    </row>
    <row r="88" spans="1:14" x14ac:dyDescent="0.2">
      <c r="A88" s="53" t="s">
        <v>176</v>
      </c>
    </row>
  </sheetData>
  <pageMargins left="0.74791666666666701" right="0.74791666666666701" top="0.74791666666666701" bottom="0.7479166666666670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54"/>
  <sheetViews>
    <sheetView zoomScaleNormal="100" workbookViewId="0">
      <selection activeCell="J19" sqref="J19"/>
    </sheetView>
  </sheetViews>
  <sheetFormatPr baseColWidth="10" defaultColWidth="9.140625" defaultRowHeight="12.75" x14ac:dyDescent="0.2"/>
  <cols>
    <col min="1" max="1" width="77.140625"/>
    <col min="5" max="5" width="8.5703125"/>
    <col min="9" max="9" width="11.5703125" bestFit="1" customWidth="1"/>
    <col min="10" max="10" width="10.5703125" bestFit="1" customWidth="1"/>
    <col min="11" max="11" width="37.85546875"/>
    <col min="12" max="12" width="20"/>
  </cols>
  <sheetData>
    <row r="2" spans="1:11" x14ac:dyDescent="0.2">
      <c r="A2" s="1" t="s">
        <v>174</v>
      </c>
    </row>
    <row r="3" spans="1:11" x14ac:dyDescent="0.2">
      <c r="A3" s="1" t="s">
        <v>32</v>
      </c>
    </row>
    <row r="4" spans="1:11" x14ac:dyDescent="0.2">
      <c r="A4" s="4"/>
    </row>
    <row r="5" spans="1:11" x14ac:dyDescent="0.2">
      <c r="A5" s="4" t="s">
        <v>3</v>
      </c>
      <c r="B5" s="54" t="s">
        <v>33</v>
      </c>
      <c r="C5" s="54" t="s">
        <v>33</v>
      </c>
      <c r="D5" s="54" t="s">
        <v>33</v>
      </c>
      <c r="E5" s="54" t="s">
        <v>33</v>
      </c>
      <c r="F5" s="54" t="s">
        <v>33</v>
      </c>
      <c r="G5" s="54" t="s">
        <v>33</v>
      </c>
      <c r="H5" s="55" t="s">
        <v>33</v>
      </c>
      <c r="I5" s="54" t="s">
        <v>33</v>
      </c>
      <c r="J5" s="54" t="s">
        <v>33</v>
      </c>
    </row>
    <row r="6" spans="1:11" x14ac:dyDescent="0.2">
      <c r="A6" s="56"/>
      <c r="B6" s="57">
        <v>2010</v>
      </c>
      <c r="C6" s="57">
        <v>2011</v>
      </c>
      <c r="D6" s="57">
        <v>2012</v>
      </c>
      <c r="E6" s="57">
        <v>2013</v>
      </c>
      <c r="F6" s="57">
        <v>2014</v>
      </c>
      <c r="G6" s="57">
        <v>2015</v>
      </c>
      <c r="H6" s="58">
        <v>2016</v>
      </c>
      <c r="I6" s="57">
        <v>2017</v>
      </c>
      <c r="J6" s="57">
        <v>2018</v>
      </c>
    </row>
    <row r="7" spans="1:11" x14ac:dyDescent="0.2">
      <c r="A7" s="1" t="s">
        <v>4</v>
      </c>
      <c r="B7" s="59">
        <f>SUM(B8,B26,B31)</f>
        <v>4227.3999999999996</v>
      </c>
      <c r="C7" s="59">
        <f>SUM(C8,C26,C31)</f>
        <v>4261.2</v>
      </c>
      <c r="D7" s="60">
        <f>SUM(D8,D26,D31)</f>
        <v>4121.3999999999996</v>
      </c>
      <c r="E7" s="60">
        <f>SUM(E8,E26,E31)</f>
        <v>3723.5</v>
      </c>
      <c r="F7" s="59">
        <f>F8+F26+F31</f>
        <v>3515.2238939999997</v>
      </c>
      <c r="G7" s="59">
        <f>G8+G26+G31</f>
        <v>3428.2799139999997</v>
      </c>
      <c r="H7" s="105">
        <f>H8+H26+H31</f>
        <v>3433.3572770000005</v>
      </c>
      <c r="I7" s="105">
        <f t="shared" ref="I7:J7" si="0">I8+I26+I31</f>
        <v>3597.4286080000002</v>
      </c>
      <c r="J7" s="105">
        <f t="shared" si="0"/>
        <v>3603.5807199999999</v>
      </c>
      <c r="K7" s="64"/>
    </row>
    <row r="8" spans="1:11" x14ac:dyDescent="0.2">
      <c r="A8" s="1" t="s">
        <v>34</v>
      </c>
      <c r="B8" s="65">
        <f>SUM(B9,B14,B19)</f>
        <v>2676.9</v>
      </c>
      <c r="C8" s="65">
        <f>SUM(C9,C14,C19)</f>
        <v>2682.1</v>
      </c>
      <c r="D8" s="65">
        <f>SUM(D9,D14,D19)</f>
        <v>2728.9</v>
      </c>
      <c r="E8" s="65">
        <f>SUM(E9,E14,E19)</f>
        <v>2638.1</v>
      </c>
      <c r="F8" s="59">
        <f>F9+F14+F19</f>
        <v>2589.5518849999999</v>
      </c>
      <c r="G8" s="59">
        <v>2596.1948649999999</v>
      </c>
      <c r="H8" s="106">
        <f>H9+H14+H19</f>
        <v>2750.1434500000005</v>
      </c>
      <c r="I8" s="105">
        <f t="shared" ref="I8:J8" si="1">I9+I14+I19</f>
        <v>2911.573085</v>
      </c>
      <c r="J8" s="105">
        <f t="shared" si="1"/>
        <v>2937.0851430000002</v>
      </c>
      <c r="K8" s="64"/>
    </row>
    <row r="9" spans="1:11" x14ac:dyDescent="0.2">
      <c r="A9" s="1" t="s">
        <v>35</v>
      </c>
      <c r="B9" s="65">
        <f>SUM(B10:B12)</f>
        <v>855.90000000000009</v>
      </c>
      <c r="C9" s="65">
        <f>SUM(C10:C12)</f>
        <v>868.8</v>
      </c>
      <c r="D9" s="65">
        <f>SUM(D10:D12)</f>
        <v>861.5</v>
      </c>
      <c r="E9" s="65">
        <v>776.8</v>
      </c>
      <c r="F9" s="59">
        <f>F10+F11+F12+F13</f>
        <v>746.56092699999999</v>
      </c>
      <c r="G9" s="59">
        <v>752.31717500000002</v>
      </c>
      <c r="H9" s="106">
        <f>H10+H11+H12+H13</f>
        <v>869.76955800000007</v>
      </c>
      <c r="I9" s="105">
        <f t="shared" ref="I9:J9" si="2">I10+I11+I12+I13</f>
        <v>899.84483</v>
      </c>
      <c r="J9" s="105">
        <f t="shared" si="2"/>
        <v>897.44448999999997</v>
      </c>
      <c r="K9" s="64"/>
    </row>
    <row r="10" spans="1:11" x14ac:dyDescent="0.2">
      <c r="A10" t="s">
        <v>36</v>
      </c>
      <c r="B10" s="69">
        <v>434.5</v>
      </c>
      <c r="C10" s="69">
        <v>410.2</v>
      </c>
      <c r="D10" s="69">
        <v>417.7</v>
      </c>
      <c r="E10" s="69">
        <v>355.1</v>
      </c>
      <c r="F10" s="70">
        <v>338.81983700000001</v>
      </c>
      <c r="G10" s="70">
        <v>344.36164600000001</v>
      </c>
      <c r="H10" s="110">
        <v>427.17459700000001</v>
      </c>
      <c r="I10" s="156">
        <v>439.53777000000002</v>
      </c>
      <c r="J10" s="76">
        <v>435.68487099999999</v>
      </c>
      <c r="K10" s="64"/>
    </row>
    <row r="11" spans="1:11" x14ac:dyDescent="0.2">
      <c r="A11" t="s">
        <v>37</v>
      </c>
      <c r="B11" s="69">
        <v>189.1</v>
      </c>
      <c r="C11" s="69">
        <v>219.8</v>
      </c>
      <c r="D11" s="69">
        <v>198.8</v>
      </c>
      <c r="E11" s="69">
        <v>136.5</v>
      </c>
      <c r="F11" s="70">
        <v>113.64445600000001</v>
      </c>
      <c r="G11" s="70">
        <v>106.082855</v>
      </c>
      <c r="H11" s="75">
        <v>101.023855</v>
      </c>
      <c r="I11" s="156">
        <v>102.307328</v>
      </c>
      <c r="J11" s="76">
        <v>112.282741</v>
      </c>
      <c r="K11" s="64"/>
    </row>
    <row r="12" spans="1:11" x14ac:dyDescent="0.2">
      <c r="A12" t="s">
        <v>38</v>
      </c>
      <c r="B12" s="69">
        <v>232.3</v>
      </c>
      <c r="C12" s="69">
        <v>238.8</v>
      </c>
      <c r="D12" s="69">
        <v>245</v>
      </c>
      <c r="E12" s="69">
        <v>215</v>
      </c>
      <c r="F12" s="70">
        <v>220.513057</v>
      </c>
      <c r="G12" s="70">
        <v>225.26141999999999</v>
      </c>
      <c r="H12" s="110">
        <v>265.613856</v>
      </c>
      <c r="I12" s="156">
        <v>269.19972999999999</v>
      </c>
      <c r="J12" s="76">
        <v>268.85593899999998</v>
      </c>
      <c r="K12" s="64"/>
    </row>
    <row r="13" spans="1:11" x14ac:dyDescent="0.2">
      <c r="A13" t="s">
        <v>39</v>
      </c>
      <c r="B13" s="74" t="s">
        <v>40</v>
      </c>
      <c r="C13" s="74" t="s">
        <v>40</v>
      </c>
      <c r="D13" s="74" t="s">
        <v>40</v>
      </c>
      <c r="E13" s="69">
        <v>70.2</v>
      </c>
      <c r="F13" s="70">
        <v>73.583577000000005</v>
      </c>
      <c r="G13" s="70">
        <v>76.611254000000002</v>
      </c>
      <c r="H13" s="75">
        <v>75.957250000000002</v>
      </c>
      <c r="I13" s="156">
        <v>88.800002000000006</v>
      </c>
      <c r="J13" s="76">
        <v>80.620939000000007</v>
      </c>
      <c r="K13" s="64"/>
    </row>
    <row r="14" spans="1:11" x14ac:dyDescent="0.2">
      <c r="A14" s="1" t="s">
        <v>41</v>
      </c>
      <c r="B14" s="65">
        <f>SUM(B15:B17)</f>
        <v>723.5</v>
      </c>
      <c r="C14" s="65">
        <f>SUM(C15:C17)</f>
        <v>736.8</v>
      </c>
      <c r="D14" s="65">
        <f>SUM(D15:D17)</f>
        <v>787.9</v>
      </c>
      <c r="E14" s="65">
        <v>775.4</v>
      </c>
      <c r="F14" s="59">
        <f>F15+F16+F17+F18</f>
        <v>747.19523700000002</v>
      </c>
      <c r="G14" s="59">
        <v>736.06521599999996</v>
      </c>
      <c r="H14" s="105">
        <f>H15+H16+H17+H18</f>
        <v>747.38834400000007</v>
      </c>
      <c r="I14" s="105">
        <f t="shared" ref="I14:J14" si="3">I15+I16+I17+I18</f>
        <v>778.46085000000005</v>
      </c>
      <c r="J14" s="105">
        <f t="shared" si="3"/>
        <v>778.89439900000002</v>
      </c>
      <c r="K14" s="64"/>
    </row>
    <row r="15" spans="1:11" x14ac:dyDescent="0.2">
      <c r="A15" t="s">
        <v>36</v>
      </c>
      <c r="B15" s="75">
        <v>308.2</v>
      </c>
      <c r="C15" s="75">
        <v>310.89999999999998</v>
      </c>
      <c r="D15" s="75">
        <v>307.5</v>
      </c>
      <c r="E15" s="75">
        <v>281.2</v>
      </c>
      <c r="F15" s="70">
        <v>278.303785</v>
      </c>
      <c r="G15" s="70">
        <v>275.97058199999998</v>
      </c>
      <c r="H15" s="75">
        <v>283.03171700000001</v>
      </c>
      <c r="I15" s="156">
        <v>291.567744</v>
      </c>
      <c r="J15" s="76">
        <v>289.75895100000002</v>
      </c>
      <c r="K15" s="64"/>
    </row>
    <row r="16" spans="1:11" x14ac:dyDescent="0.2">
      <c r="A16" t="s">
        <v>37</v>
      </c>
      <c r="B16" s="75">
        <v>10.9</v>
      </c>
      <c r="C16" s="75">
        <v>25.3</v>
      </c>
      <c r="D16" s="75">
        <v>19</v>
      </c>
      <c r="E16" s="75">
        <v>9</v>
      </c>
      <c r="F16" s="70">
        <v>9.4431080000000005</v>
      </c>
      <c r="G16" s="70">
        <v>19.052163</v>
      </c>
      <c r="H16" s="75">
        <v>14.566834</v>
      </c>
      <c r="I16" s="76">
        <v>23.316834</v>
      </c>
      <c r="J16" s="76">
        <v>29.440999999999999</v>
      </c>
      <c r="K16" s="64"/>
    </row>
    <row r="17" spans="1:11" x14ac:dyDescent="0.2">
      <c r="A17" t="s">
        <v>38</v>
      </c>
      <c r="B17" s="75">
        <v>404.4</v>
      </c>
      <c r="C17" s="75">
        <v>400.6</v>
      </c>
      <c r="D17" s="75">
        <v>461.4</v>
      </c>
      <c r="E17" s="75">
        <v>467.6</v>
      </c>
      <c r="F17" s="70">
        <v>447.37147800000002</v>
      </c>
      <c r="G17" s="70">
        <v>429.416471</v>
      </c>
      <c r="H17" s="75">
        <v>429.86379299999999</v>
      </c>
      <c r="I17" s="76">
        <v>447.250272</v>
      </c>
      <c r="J17" s="76">
        <v>445.96844800000002</v>
      </c>
      <c r="K17" s="64"/>
    </row>
    <row r="18" spans="1:11" x14ac:dyDescent="0.2">
      <c r="A18" t="s">
        <v>39</v>
      </c>
      <c r="B18" s="74" t="s">
        <v>40</v>
      </c>
      <c r="C18" s="74" t="s">
        <v>40</v>
      </c>
      <c r="D18" s="74" t="s">
        <v>40</v>
      </c>
      <c r="E18" s="75">
        <v>17.7</v>
      </c>
      <c r="F18" s="70">
        <v>12.076866000000001</v>
      </c>
      <c r="G18" s="70">
        <v>11.625999999999999</v>
      </c>
      <c r="H18" s="75">
        <v>19.925999999999998</v>
      </c>
      <c r="I18" s="76">
        <v>16.326000000000001</v>
      </c>
      <c r="J18" s="76">
        <v>13.726000000000001</v>
      </c>
      <c r="K18" s="64"/>
    </row>
    <row r="19" spans="1:11" x14ac:dyDescent="0.2">
      <c r="A19" s="1" t="s">
        <v>42</v>
      </c>
      <c r="B19" s="65">
        <f>SUM(B20:B23)</f>
        <v>1097.5</v>
      </c>
      <c r="C19" s="65">
        <f>SUM(C20:C23)</f>
        <v>1076.5</v>
      </c>
      <c r="D19" s="65">
        <f>SUM(D20:D23)</f>
        <v>1079.5</v>
      </c>
      <c r="E19" s="65">
        <v>1085.9000000000001</v>
      </c>
      <c r="F19" s="59">
        <f>F20+F21+F22+F23+F24</f>
        <v>1095.7957210000002</v>
      </c>
      <c r="G19" s="59">
        <v>1107.8124740000001</v>
      </c>
      <c r="H19" s="105">
        <f>H20+H21+H22+H23+H24</f>
        <v>1132.9855480000001</v>
      </c>
      <c r="I19" s="105">
        <f t="shared" ref="I19:J19" si="4">I20+I21+I22+I23+I24</f>
        <v>1233.2674050000001</v>
      </c>
      <c r="J19" s="105">
        <f t="shared" si="4"/>
        <v>1260.7462539999999</v>
      </c>
      <c r="K19" s="64"/>
    </row>
    <row r="20" spans="1:11" x14ac:dyDescent="0.2">
      <c r="A20" t="s">
        <v>43</v>
      </c>
      <c r="B20">
        <v>628.9</v>
      </c>
      <c r="C20" s="75">
        <v>634.20000000000005</v>
      </c>
      <c r="D20" s="75">
        <v>642.20000000000005</v>
      </c>
      <c r="E20" s="75">
        <v>659.6</v>
      </c>
      <c r="F20" s="70">
        <v>657.62093100000004</v>
      </c>
      <c r="G20" s="76">
        <v>662.1</v>
      </c>
      <c r="H20" s="75">
        <v>668.74377100000004</v>
      </c>
      <c r="I20" s="76">
        <v>696.70384000000001</v>
      </c>
      <c r="J20" s="76">
        <v>711.388328</v>
      </c>
      <c r="K20" s="71"/>
    </row>
    <row r="21" spans="1:11" x14ac:dyDescent="0.2">
      <c r="A21" t="s">
        <v>36</v>
      </c>
      <c r="B21" s="75">
        <v>244.4</v>
      </c>
      <c r="C21" s="75">
        <v>226</v>
      </c>
      <c r="D21" s="75">
        <v>219</v>
      </c>
      <c r="E21" s="75">
        <v>208.4</v>
      </c>
      <c r="F21" s="70">
        <v>215.50124299999999</v>
      </c>
      <c r="G21" s="76">
        <v>221</v>
      </c>
      <c r="H21" s="75">
        <v>222.86234899999999</v>
      </c>
      <c r="I21" s="76">
        <v>212.713244</v>
      </c>
      <c r="J21" s="76">
        <v>217.14694399999999</v>
      </c>
      <c r="K21" s="71"/>
    </row>
    <row r="22" spans="1:11" x14ac:dyDescent="0.2">
      <c r="A22" t="s">
        <v>37</v>
      </c>
      <c r="B22" s="75">
        <v>21.4</v>
      </c>
      <c r="C22" s="75">
        <v>23.7</v>
      </c>
      <c r="D22" s="75">
        <v>23.6</v>
      </c>
      <c r="E22" s="75">
        <v>25.7</v>
      </c>
      <c r="F22" s="70">
        <v>29.637640999999999</v>
      </c>
      <c r="G22" s="70">
        <v>36.786901999999998</v>
      </c>
      <c r="H22" s="75">
        <v>29.559339999999999</v>
      </c>
      <c r="I22" s="76">
        <v>34.924239</v>
      </c>
      <c r="J22" s="76">
        <v>35.729152999999997</v>
      </c>
      <c r="K22" s="64"/>
    </row>
    <row r="23" spans="1:11" x14ac:dyDescent="0.2">
      <c r="A23" t="s">
        <v>38</v>
      </c>
      <c r="B23">
        <v>202.8</v>
      </c>
      <c r="C23" s="75">
        <v>192.6</v>
      </c>
      <c r="D23" s="75">
        <v>194.7</v>
      </c>
      <c r="E23" s="75">
        <v>184.6</v>
      </c>
      <c r="F23" s="70">
        <v>185.40332699999999</v>
      </c>
      <c r="G23" s="70">
        <v>179.8913</v>
      </c>
      <c r="H23" s="75">
        <v>200.32350700000001</v>
      </c>
      <c r="I23" s="76">
        <v>280.02950099999998</v>
      </c>
      <c r="J23" s="76">
        <v>287.58524799999998</v>
      </c>
      <c r="K23" s="64"/>
    </row>
    <row r="24" spans="1:11" x14ac:dyDescent="0.2">
      <c r="A24" t="s">
        <v>39</v>
      </c>
      <c r="B24" s="74" t="s">
        <v>40</v>
      </c>
      <c r="C24" s="74" t="s">
        <v>40</v>
      </c>
      <c r="D24" s="74" t="s">
        <v>40</v>
      </c>
      <c r="E24" s="75">
        <v>7.7</v>
      </c>
      <c r="F24" s="70">
        <v>7.6325789999999998</v>
      </c>
      <c r="G24" s="70">
        <v>8.0325810000000004</v>
      </c>
      <c r="H24" s="75">
        <v>11.496581000000001</v>
      </c>
      <c r="I24" s="76">
        <v>8.8965809999999994</v>
      </c>
      <c r="J24" s="76">
        <v>8.8965809999999994</v>
      </c>
      <c r="K24" s="64"/>
    </row>
    <row r="25" spans="1:11" x14ac:dyDescent="0.2">
      <c r="A25" s="1" t="s">
        <v>44</v>
      </c>
      <c r="B25" s="75"/>
      <c r="C25" s="75"/>
      <c r="D25" s="65"/>
      <c r="E25" s="65"/>
      <c r="F25" s="70"/>
      <c r="G25" s="70"/>
      <c r="H25" s="75"/>
      <c r="I25" s="76"/>
      <c r="J25" s="76"/>
      <c r="K25" s="64"/>
    </row>
    <row r="26" spans="1:11" x14ac:dyDescent="0.2">
      <c r="A26" s="1" t="s">
        <v>45</v>
      </c>
      <c r="B26" s="65">
        <f>SUM(B27:B29)</f>
        <v>122.5</v>
      </c>
      <c r="C26" s="65">
        <f>SUM(C27:C29)</f>
        <v>125.00000000000001</v>
      </c>
      <c r="D26" s="65">
        <f>SUM(D27:D29)</f>
        <v>124.10000000000001</v>
      </c>
      <c r="E26" s="65">
        <v>118.6</v>
      </c>
      <c r="F26" s="59">
        <f>F27+F28+F29+F30</f>
        <v>114.539698</v>
      </c>
      <c r="G26" s="59">
        <v>117.233198</v>
      </c>
      <c r="H26" s="105">
        <f>H27+H28+H29+H30</f>
        <v>122.14769800000001</v>
      </c>
      <c r="I26" s="105">
        <f t="shared" ref="I26" si="5">I27+I28+I29+I30</f>
        <v>116.57069800000001</v>
      </c>
      <c r="J26" s="105">
        <f>J27+J28+J29+J30</f>
        <v>111.881973</v>
      </c>
      <c r="K26" s="64"/>
    </row>
    <row r="27" spans="1:11" x14ac:dyDescent="0.2">
      <c r="A27" t="s">
        <v>36</v>
      </c>
      <c r="B27" s="77">
        <v>117.6</v>
      </c>
      <c r="C27" s="75">
        <v>120.2</v>
      </c>
      <c r="D27" s="75">
        <v>119.2</v>
      </c>
      <c r="E27" s="75">
        <v>106.1</v>
      </c>
      <c r="F27" s="70">
        <v>100.688045</v>
      </c>
      <c r="G27" s="70">
        <v>100.688045</v>
      </c>
      <c r="H27" s="75">
        <v>100.688045</v>
      </c>
      <c r="I27" s="76">
        <v>103.6416</v>
      </c>
      <c r="J27" s="76">
        <v>103.44987500000001</v>
      </c>
      <c r="K27" s="64"/>
    </row>
    <row r="28" spans="1:11" x14ac:dyDescent="0.2">
      <c r="A28" t="s">
        <v>37</v>
      </c>
      <c r="B28" s="77">
        <v>0.5</v>
      </c>
      <c r="C28" s="75">
        <v>0.4</v>
      </c>
      <c r="D28" s="75">
        <v>0.4</v>
      </c>
      <c r="E28" s="75">
        <v>0.4</v>
      </c>
      <c r="F28" s="70">
        <v>0.35312500000000002</v>
      </c>
      <c r="G28" s="70">
        <v>0.35312500000000002</v>
      </c>
      <c r="H28" s="75">
        <v>0.35312500000000002</v>
      </c>
      <c r="I28" s="76">
        <v>0.35312500000000002</v>
      </c>
      <c r="J28" s="76">
        <v>0.50312500000000004</v>
      </c>
      <c r="K28" s="64"/>
    </row>
    <row r="29" spans="1:11" x14ac:dyDescent="0.2">
      <c r="A29" t="s">
        <v>38</v>
      </c>
      <c r="B29" s="77">
        <v>4.4000000000000004</v>
      </c>
      <c r="C29" s="75">
        <v>4.4000000000000004</v>
      </c>
      <c r="D29" s="75">
        <v>4.5</v>
      </c>
      <c r="E29" s="75">
        <v>4.2</v>
      </c>
      <c r="F29" s="70">
        <v>4.2326360000000003</v>
      </c>
      <c r="G29" s="70">
        <v>4.326136</v>
      </c>
      <c r="H29" s="75">
        <v>4.2356360000000004</v>
      </c>
      <c r="I29" s="76">
        <v>4.4307829999999999</v>
      </c>
      <c r="J29" s="76">
        <v>4.7807829999999996</v>
      </c>
      <c r="K29" s="64"/>
    </row>
    <row r="30" spans="1:11" x14ac:dyDescent="0.2">
      <c r="A30" t="s">
        <v>39</v>
      </c>
      <c r="B30" s="74" t="s">
        <v>40</v>
      </c>
      <c r="C30" s="74" t="s">
        <v>40</v>
      </c>
      <c r="D30" s="74" t="s">
        <v>40</v>
      </c>
      <c r="E30" s="75">
        <v>7.9</v>
      </c>
      <c r="F30" s="70">
        <v>9.2658919999999991</v>
      </c>
      <c r="G30" s="70">
        <v>11.865892000000001</v>
      </c>
      <c r="H30" s="75">
        <v>16.870892000000001</v>
      </c>
      <c r="I30" s="76">
        <v>8.1451899999999995</v>
      </c>
      <c r="J30" s="76">
        <v>3.14819</v>
      </c>
      <c r="K30" s="64"/>
    </row>
    <row r="31" spans="1:11" x14ac:dyDescent="0.2">
      <c r="A31" s="1" t="s">
        <v>46</v>
      </c>
      <c r="B31" s="65">
        <v>1428</v>
      </c>
      <c r="C31" s="65">
        <f>SUM(C32,C35,C40,C43)</f>
        <v>1454.1</v>
      </c>
      <c r="D31" s="65">
        <f>SUM(D32,D35,D40,D43)</f>
        <v>1268.3999999999999</v>
      </c>
      <c r="E31" s="65">
        <f>SUM(E32,E35,E40,E43)</f>
        <v>966.8</v>
      </c>
      <c r="F31" s="59">
        <f>F32+F35+F40+F43</f>
        <v>811.13231099999996</v>
      </c>
      <c r="G31" s="59">
        <v>714.85185100000001</v>
      </c>
      <c r="H31" s="62">
        <f>H32+H35+H40</f>
        <v>561.06612899999993</v>
      </c>
      <c r="I31" s="65">
        <f>I32+I35</f>
        <v>569.28482499999996</v>
      </c>
      <c r="J31" s="65">
        <f>J32+J35</f>
        <v>554.6136039999999</v>
      </c>
      <c r="K31" s="64"/>
    </row>
    <row r="32" spans="1:11" x14ac:dyDescent="0.2">
      <c r="A32" s="147" t="s">
        <v>178</v>
      </c>
      <c r="B32" s="77" t="s">
        <v>47</v>
      </c>
      <c r="C32" s="79">
        <f>SUM(C33:C34)</f>
        <v>419.9</v>
      </c>
      <c r="D32" s="79">
        <f>SUM(D33:D34)</f>
        <v>390.3</v>
      </c>
      <c r="E32" s="80">
        <v>265.39999999999998</v>
      </c>
      <c r="F32" s="59">
        <f>F33+F34</f>
        <v>257.07151399999998</v>
      </c>
      <c r="G32" s="59">
        <v>256.348614</v>
      </c>
      <c r="H32" s="105">
        <f>H33+H34</f>
        <v>255.31544600000001</v>
      </c>
      <c r="I32" s="105">
        <f t="shared" ref="I32:J32" si="6">I33+I34</f>
        <v>292.57052399999998</v>
      </c>
      <c r="J32" s="105">
        <f t="shared" si="6"/>
        <v>283.95193899999998</v>
      </c>
      <c r="K32" s="64"/>
    </row>
    <row r="33" spans="1:11" x14ac:dyDescent="0.2">
      <c r="A33" t="s">
        <v>36</v>
      </c>
      <c r="B33" s="81" t="s">
        <v>47</v>
      </c>
      <c r="C33" s="82">
        <v>115.4</v>
      </c>
      <c r="D33" s="82">
        <v>117.5</v>
      </c>
      <c r="E33" s="82">
        <v>119.6</v>
      </c>
      <c r="F33" s="70">
        <v>123.001014</v>
      </c>
      <c r="G33" s="70">
        <v>126.140282</v>
      </c>
      <c r="H33" s="110">
        <v>21.655380000000001</v>
      </c>
      <c r="I33" s="156">
        <v>21.778375</v>
      </c>
      <c r="J33" s="76">
        <v>21.778375</v>
      </c>
      <c r="K33" s="64"/>
    </row>
    <row r="34" spans="1:11" x14ac:dyDescent="0.2">
      <c r="A34" t="s">
        <v>38</v>
      </c>
      <c r="B34" s="81" t="s">
        <v>47</v>
      </c>
      <c r="C34" s="82">
        <v>304.5</v>
      </c>
      <c r="D34" s="82">
        <v>272.8</v>
      </c>
      <c r="E34" s="83">
        <v>145.80000000000001</v>
      </c>
      <c r="F34" s="70">
        <v>134.07050000000001</v>
      </c>
      <c r="G34" s="70">
        <v>130.20833200000001</v>
      </c>
      <c r="H34" s="110">
        <v>233.660066</v>
      </c>
      <c r="I34" s="76">
        <v>270.79214899999999</v>
      </c>
      <c r="J34" s="76">
        <v>262.173564</v>
      </c>
      <c r="K34" s="64"/>
    </row>
    <row r="35" spans="1:11" x14ac:dyDescent="0.2">
      <c r="A35" s="1" t="s">
        <v>48</v>
      </c>
      <c r="B35" s="77" t="s">
        <v>47</v>
      </c>
      <c r="C35" s="65">
        <f>SUM(C36:C38)</f>
        <v>303.8</v>
      </c>
      <c r="D35" s="65">
        <f>SUM(D36:D38)</f>
        <v>275</v>
      </c>
      <c r="E35" s="65">
        <v>267.5</v>
      </c>
      <c r="F35" s="59">
        <f>F36+F37+F38+F39</f>
        <v>261.79826800000001</v>
      </c>
      <c r="G35" s="59">
        <v>268.93202700000001</v>
      </c>
      <c r="H35" s="105">
        <f>H36+H37+H38+H39</f>
        <v>276.50204399999996</v>
      </c>
      <c r="I35" s="105">
        <f t="shared" ref="I35:J35" si="7">I36+I37+I38+I39</f>
        <v>276.71430099999998</v>
      </c>
      <c r="J35" s="105">
        <f t="shared" si="7"/>
        <v>270.66166499999997</v>
      </c>
      <c r="K35" s="64"/>
    </row>
    <row r="36" spans="1:11" x14ac:dyDescent="0.2">
      <c r="A36" t="s">
        <v>36</v>
      </c>
      <c r="B36" s="81" t="s">
        <v>47</v>
      </c>
      <c r="C36" s="82">
        <v>226.1</v>
      </c>
      <c r="D36" s="82">
        <v>215.9</v>
      </c>
      <c r="E36" s="82">
        <v>210.3</v>
      </c>
      <c r="F36" s="70">
        <v>195.753141</v>
      </c>
      <c r="G36" s="70">
        <v>196.104749</v>
      </c>
      <c r="H36" s="75">
        <v>190.74028999999999</v>
      </c>
      <c r="I36" s="76">
        <v>193.722769</v>
      </c>
      <c r="J36" s="76">
        <v>187.722769</v>
      </c>
      <c r="K36" s="64"/>
    </row>
    <row r="37" spans="1:11" x14ac:dyDescent="0.2">
      <c r="A37" t="s">
        <v>37</v>
      </c>
      <c r="B37" s="81" t="s">
        <v>47</v>
      </c>
      <c r="C37" s="70">
        <v>5</v>
      </c>
      <c r="D37" s="70">
        <v>15.6</v>
      </c>
      <c r="E37" s="70">
        <v>14.2</v>
      </c>
      <c r="F37" s="70">
        <v>9.6681000000000008</v>
      </c>
      <c r="G37" s="70">
        <v>13.238250000000001</v>
      </c>
      <c r="H37" s="75">
        <v>9.9</v>
      </c>
      <c r="I37" s="76">
        <v>6</v>
      </c>
      <c r="J37" s="76">
        <v>16</v>
      </c>
      <c r="K37" s="64"/>
    </row>
    <row r="38" spans="1:11" x14ac:dyDescent="0.2">
      <c r="A38" t="s">
        <v>38</v>
      </c>
      <c r="B38" s="81" t="s">
        <v>47</v>
      </c>
      <c r="C38" s="82">
        <v>72.7</v>
      </c>
      <c r="D38" s="82">
        <v>43.5</v>
      </c>
      <c r="E38" s="82">
        <v>43</v>
      </c>
      <c r="F38" s="70">
        <v>41.378376000000003</v>
      </c>
      <c r="G38" s="70">
        <v>41.213216000000003</v>
      </c>
      <c r="H38" s="75">
        <v>51.051158999999998</v>
      </c>
      <c r="I38" s="76">
        <v>50.29072</v>
      </c>
      <c r="J38" s="76">
        <v>39.238084000000001</v>
      </c>
      <c r="K38" s="64"/>
    </row>
    <row r="39" spans="1:11" x14ac:dyDescent="0.2">
      <c r="A39" t="s">
        <v>39</v>
      </c>
      <c r="B39" s="81" t="s">
        <v>47</v>
      </c>
      <c r="C39" s="81" t="s">
        <v>47</v>
      </c>
      <c r="D39" s="81" t="s">
        <v>47</v>
      </c>
      <c r="E39" s="81" t="s">
        <v>47</v>
      </c>
      <c r="F39" s="70">
        <v>14.998651000000001</v>
      </c>
      <c r="G39" s="70">
        <v>18.375812</v>
      </c>
      <c r="H39" s="75">
        <v>24.810594999999999</v>
      </c>
      <c r="I39" s="76">
        <v>26.700811999999999</v>
      </c>
      <c r="J39" s="76">
        <v>27.700811999999999</v>
      </c>
      <c r="K39" s="64"/>
    </row>
    <row r="40" spans="1:11" x14ac:dyDescent="0.2">
      <c r="A40" s="147" t="s">
        <v>49</v>
      </c>
      <c r="B40" s="79">
        <f>SUM(B41:B42)</f>
        <v>526.9</v>
      </c>
      <c r="C40" s="79">
        <f>SUM(C41:C42)</f>
        <v>523.9</v>
      </c>
      <c r="D40" s="79">
        <f>SUM(D41:D42)</f>
        <v>453</v>
      </c>
      <c r="E40" s="84">
        <v>285</v>
      </c>
      <c r="F40" s="85">
        <f>F41+F42</f>
        <v>141.66252899999998</v>
      </c>
      <c r="G40" s="59">
        <v>189.57121000000001</v>
      </c>
      <c r="H40" s="106">
        <f>H41+H42</f>
        <v>29.248639000000001</v>
      </c>
      <c r="I40" s="115" t="s">
        <v>40</v>
      </c>
      <c r="J40" s="115" t="s">
        <v>40</v>
      </c>
      <c r="K40" s="64"/>
    </row>
    <row r="41" spans="1:11" x14ac:dyDescent="0.2">
      <c r="A41" t="s">
        <v>36</v>
      </c>
      <c r="B41" s="82">
        <v>0.1</v>
      </c>
      <c r="C41" s="82">
        <v>0.1</v>
      </c>
      <c r="D41" s="82">
        <v>0.1</v>
      </c>
      <c r="E41" s="82">
        <v>0.1</v>
      </c>
      <c r="F41" s="70">
        <v>0.1152</v>
      </c>
      <c r="G41" s="70">
        <v>0.11600000000000001</v>
      </c>
      <c r="H41" s="75">
        <v>0.11600000000000001</v>
      </c>
      <c r="I41" s="115" t="s">
        <v>40</v>
      </c>
      <c r="J41" s="115" t="s">
        <v>40</v>
      </c>
      <c r="K41" s="64"/>
    </row>
    <row r="42" spans="1:11" x14ac:dyDescent="0.2">
      <c r="A42" s="12" t="s">
        <v>38</v>
      </c>
      <c r="B42" s="82">
        <v>526.79999999999995</v>
      </c>
      <c r="C42" s="82">
        <v>523.79999999999995</v>
      </c>
      <c r="D42" s="82">
        <v>452.9</v>
      </c>
      <c r="E42" s="87">
        <v>284.89999999999998</v>
      </c>
      <c r="F42" s="88">
        <v>141.54732899999999</v>
      </c>
      <c r="G42" s="70">
        <v>189.45520999999999</v>
      </c>
      <c r="H42" s="110">
        <v>29.132639000000001</v>
      </c>
      <c r="I42" s="148" t="s">
        <v>40</v>
      </c>
      <c r="J42" s="148" t="s">
        <v>40</v>
      </c>
      <c r="K42" s="64"/>
    </row>
    <row r="43" spans="1:11" x14ac:dyDescent="0.2">
      <c r="A43" s="89" t="s">
        <v>50</v>
      </c>
      <c r="B43" s="43">
        <f>SUM(B44)</f>
        <v>198.1</v>
      </c>
      <c r="C43" s="43">
        <v>206.5</v>
      </c>
      <c r="D43" s="43">
        <f>SUM(D44)</f>
        <v>150.1</v>
      </c>
      <c r="E43" s="43">
        <v>148.9</v>
      </c>
      <c r="F43" s="90">
        <f>F44</f>
        <v>150.6</v>
      </c>
      <c r="G43" s="91" t="s">
        <v>47</v>
      </c>
      <c r="H43" s="115" t="s">
        <v>47</v>
      </c>
      <c r="I43" s="115" t="s">
        <v>40</v>
      </c>
      <c r="J43" s="115" t="s">
        <v>40</v>
      </c>
    </row>
    <row r="44" spans="1:11" x14ac:dyDescent="0.2">
      <c r="A44" s="56" t="s">
        <v>38</v>
      </c>
      <c r="B44" s="92">
        <v>198.1</v>
      </c>
      <c r="C44" s="92">
        <v>206.5</v>
      </c>
      <c r="D44" s="93">
        <v>150.1</v>
      </c>
      <c r="E44" s="93">
        <v>148.9</v>
      </c>
      <c r="F44" s="94">
        <v>150.6</v>
      </c>
      <c r="G44" s="95" t="s">
        <v>47</v>
      </c>
      <c r="H44" s="96" t="s">
        <v>47</v>
      </c>
      <c r="I44" s="96" t="s">
        <v>40</v>
      </c>
      <c r="J44" s="96" t="s">
        <v>40</v>
      </c>
    </row>
    <row r="45" spans="1:11" x14ac:dyDescent="0.2">
      <c r="A45" s="38" t="s">
        <v>51</v>
      </c>
    </row>
    <row r="46" spans="1:11" x14ac:dyDescent="0.2">
      <c r="A46" s="38" t="s">
        <v>52</v>
      </c>
    </row>
    <row r="47" spans="1:11" x14ac:dyDescent="0.2">
      <c r="A47" s="38" t="s">
        <v>53</v>
      </c>
    </row>
    <row r="48" spans="1:11" x14ac:dyDescent="0.2">
      <c r="A48" s="97" t="s">
        <v>54</v>
      </c>
    </row>
    <row r="49" spans="1:7" ht="36.6" customHeight="1" x14ac:dyDescent="0.2">
      <c r="A49" s="157" t="s">
        <v>55</v>
      </c>
      <c r="B49" s="157"/>
      <c r="C49" s="157"/>
      <c r="D49" s="157"/>
      <c r="E49" s="157"/>
      <c r="F49" s="157"/>
      <c r="G49" s="157"/>
    </row>
    <row r="50" spans="1:7" ht="27.6" customHeight="1" x14ac:dyDescent="0.2">
      <c r="A50" s="158" t="s">
        <v>56</v>
      </c>
      <c r="B50" s="158"/>
      <c r="C50" s="158"/>
      <c r="D50" s="158"/>
      <c r="E50" s="158"/>
      <c r="F50" s="158"/>
      <c r="G50" s="158"/>
    </row>
    <row r="51" spans="1:7" x14ac:dyDescent="0.2">
      <c r="A51" s="98" t="s">
        <v>57</v>
      </c>
    </row>
    <row r="52" spans="1:7" x14ac:dyDescent="0.2">
      <c r="A52" s="149" t="s">
        <v>179</v>
      </c>
    </row>
    <row r="53" spans="1:7" s="82" customFormat="1" x14ac:dyDescent="0.2">
      <c r="A53" s="99"/>
    </row>
    <row r="54" spans="1:7" x14ac:dyDescent="0.2">
      <c r="A54" s="53" t="s">
        <v>176</v>
      </c>
    </row>
  </sheetData>
  <mergeCells count="2">
    <mergeCell ref="A49:G49"/>
    <mergeCell ref="A50:G50"/>
  </mergeCells>
  <pageMargins left="0.74791666666666701" right="0.74791666666666701" top="0.74791666666666701" bottom="0.7479166666666670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2"/>
  <sheetViews>
    <sheetView zoomScaleNormal="100" workbookViewId="0">
      <selection activeCell="N22" sqref="N22"/>
    </sheetView>
  </sheetViews>
  <sheetFormatPr baseColWidth="10" defaultColWidth="9.140625" defaultRowHeight="12.75" x14ac:dyDescent="0.2"/>
  <cols>
    <col min="1" max="1" width="72.7109375"/>
    <col min="2" max="5" width="8"/>
    <col min="6" max="7" width="7.42578125"/>
    <col min="8" max="8" width="8.7109375"/>
    <col min="9" max="9" width="10.28515625" customWidth="1"/>
    <col min="10" max="10" width="11.5703125" bestFit="1" customWidth="1"/>
    <col min="11" max="11" width="13.7109375"/>
    <col min="12" max="12" width="14.5703125"/>
    <col min="13" max="13" width="15.42578125"/>
    <col min="14" max="15" width="12.7109375"/>
  </cols>
  <sheetData>
    <row r="2" spans="1:13" x14ac:dyDescent="0.2">
      <c r="A2" s="1" t="s">
        <v>174</v>
      </c>
    </row>
    <row r="3" spans="1:13" x14ac:dyDescent="0.2">
      <c r="A3" s="1" t="s">
        <v>2</v>
      </c>
    </row>
    <row r="4" spans="1:13" x14ac:dyDescent="0.2">
      <c r="A4" s="1"/>
      <c r="M4" s="5"/>
    </row>
    <row r="5" spans="1:13" x14ac:dyDescent="0.2">
      <c r="A5" s="38" t="s">
        <v>58</v>
      </c>
      <c r="B5" s="6" t="s">
        <v>33</v>
      </c>
      <c r="C5" s="6" t="s">
        <v>33</v>
      </c>
      <c r="D5" s="6" t="s">
        <v>33</v>
      </c>
      <c r="E5" s="6" t="s">
        <v>33</v>
      </c>
      <c r="F5" s="6" t="s">
        <v>33</v>
      </c>
      <c r="G5" s="6" t="s">
        <v>33</v>
      </c>
      <c r="H5" s="100" t="s">
        <v>33</v>
      </c>
      <c r="I5" s="6" t="s">
        <v>33</v>
      </c>
      <c r="J5" s="6" t="s">
        <v>33</v>
      </c>
      <c r="K5" s="6"/>
      <c r="M5" s="6"/>
    </row>
    <row r="6" spans="1:13" x14ac:dyDescent="0.2">
      <c r="A6" s="101" t="s">
        <v>3</v>
      </c>
      <c r="B6" s="54">
        <v>2010</v>
      </c>
      <c r="C6" s="54">
        <v>2011</v>
      </c>
      <c r="D6" s="54">
        <v>2012</v>
      </c>
      <c r="E6" s="54">
        <v>2013</v>
      </c>
      <c r="F6" s="54">
        <v>2014</v>
      </c>
      <c r="G6" s="54">
        <v>2015</v>
      </c>
      <c r="H6" s="55">
        <v>2016</v>
      </c>
      <c r="I6" s="54">
        <v>2017</v>
      </c>
      <c r="J6" s="54">
        <v>2018</v>
      </c>
      <c r="K6" s="30"/>
      <c r="M6" s="5"/>
    </row>
    <row r="7" spans="1:13" x14ac:dyDescent="0.2">
      <c r="A7" s="1" t="s">
        <v>4</v>
      </c>
      <c r="B7" s="102">
        <f>SUM(B8,B16,B19,B28,B31,B37,B42,B46)</f>
        <v>4227.3999999999996</v>
      </c>
      <c r="C7" s="102">
        <f>SUM(C8,C16,C19,C28,C31,C37,C42,C46)</f>
        <v>4261.2000000000007</v>
      </c>
      <c r="D7" s="102">
        <f>SUM(D8,D16,D19,D28,D31,D37,D42,D46)</f>
        <v>4121.3</v>
      </c>
      <c r="E7" s="102">
        <f>SUM(E8,E16,E19,E28,E31,E37,E42,E46)</f>
        <v>3723.5</v>
      </c>
      <c r="F7" s="103">
        <f>F8+F16+F19+F28+F31+F37+F42+F46</f>
        <v>3515.2238939999997</v>
      </c>
      <c r="G7" s="104">
        <f>G8+G16+G19+G28+G31+G37+G42</f>
        <v>3428.2799140000002</v>
      </c>
      <c r="H7" s="103">
        <f>H8+H16+H19+H28+H31+H37+H42</f>
        <v>3433.3572770000001</v>
      </c>
      <c r="I7" s="103">
        <f>I8+I16+I19+I28+I31+I37</f>
        <v>3597.4286080000002</v>
      </c>
      <c r="J7" s="103">
        <f>J8+J16+J19+J28+J31+J37</f>
        <v>3603.5807200000004</v>
      </c>
      <c r="K7" s="105"/>
      <c r="M7" s="68"/>
    </row>
    <row r="8" spans="1:13" x14ac:dyDescent="0.2">
      <c r="A8" s="1" t="s">
        <v>59</v>
      </c>
      <c r="B8" s="59">
        <f>SUM(B9:B15)</f>
        <v>855.90000000000009</v>
      </c>
      <c r="C8" s="59">
        <f>SUM(C9:C15)</f>
        <v>868.8</v>
      </c>
      <c r="D8" s="59">
        <f>SUM(D9:D15)</f>
        <v>861.5</v>
      </c>
      <c r="E8" s="59">
        <v>776.8</v>
      </c>
      <c r="F8" s="67">
        <f>SUM(F9:F15)</f>
        <v>746.56092699999988</v>
      </c>
      <c r="G8" s="61">
        <v>752.31717500000002</v>
      </c>
      <c r="H8" s="106">
        <f>SUM(H9:H15)</f>
        <v>869.76955800000007</v>
      </c>
      <c r="I8" s="105">
        <f t="shared" ref="I8:J8" si="0">SUM(I9:I15)</f>
        <v>899.84483</v>
      </c>
      <c r="J8" s="105">
        <f t="shared" si="0"/>
        <v>897.44449000000009</v>
      </c>
      <c r="K8" s="59"/>
      <c r="L8" s="1"/>
      <c r="M8" s="68"/>
    </row>
    <row r="9" spans="1:13" x14ac:dyDescent="0.2">
      <c r="A9" t="s">
        <v>181</v>
      </c>
      <c r="B9" s="70">
        <v>392</v>
      </c>
      <c r="C9" s="70">
        <v>379.8</v>
      </c>
      <c r="D9">
        <v>377.5</v>
      </c>
      <c r="E9">
        <v>329.3</v>
      </c>
      <c r="F9" s="64">
        <v>332.23312299999998</v>
      </c>
      <c r="G9" s="107">
        <v>328.88460199999997</v>
      </c>
      <c r="H9" s="107">
        <v>324.10902099999998</v>
      </c>
      <c r="I9" s="153">
        <v>334.46656200000001</v>
      </c>
      <c r="J9" s="152">
        <v>332.90828900000002</v>
      </c>
      <c r="K9" s="70"/>
      <c r="L9" s="72"/>
      <c r="M9" s="78"/>
    </row>
    <row r="10" spans="1:13" x14ac:dyDescent="0.2">
      <c r="A10" t="s">
        <v>182</v>
      </c>
      <c r="B10" s="70">
        <v>22.5</v>
      </c>
      <c r="C10" s="70">
        <v>25.6</v>
      </c>
      <c r="D10">
        <v>27.8</v>
      </c>
      <c r="E10">
        <v>28</v>
      </c>
      <c r="F10" s="64">
        <v>27.850912000000001</v>
      </c>
      <c r="G10" s="107">
        <v>27.906666000000001</v>
      </c>
      <c r="H10" s="107">
        <v>28.955666000000001</v>
      </c>
      <c r="I10" s="153">
        <v>31.671624000000001</v>
      </c>
      <c r="J10" s="152">
        <v>32.130588000000003</v>
      </c>
      <c r="K10" s="70"/>
      <c r="L10" s="72"/>
      <c r="M10" s="78"/>
    </row>
    <row r="11" spans="1:13" x14ac:dyDescent="0.2">
      <c r="A11" t="s">
        <v>60</v>
      </c>
      <c r="B11" s="70">
        <v>346</v>
      </c>
      <c r="C11" s="70">
        <v>371.9</v>
      </c>
      <c r="D11">
        <v>378.5</v>
      </c>
      <c r="E11">
        <v>375.8</v>
      </c>
      <c r="F11" s="64">
        <v>339.59940799999998</v>
      </c>
      <c r="G11" s="107">
        <v>339.71040199999999</v>
      </c>
      <c r="H11" s="107">
        <v>338.52577100000002</v>
      </c>
      <c r="I11" s="153">
        <v>358.29112800000001</v>
      </c>
      <c r="J11" s="152">
        <v>350.69458100000003</v>
      </c>
      <c r="K11" s="70"/>
      <c r="L11" s="72"/>
      <c r="M11" s="78"/>
    </row>
    <row r="12" spans="1:13" x14ac:dyDescent="0.2">
      <c r="A12" t="s">
        <v>61</v>
      </c>
      <c r="B12" s="70">
        <v>68.2</v>
      </c>
      <c r="C12" s="70">
        <v>65.400000000000006</v>
      </c>
      <c r="D12">
        <v>48.9</v>
      </c>
      <c r="E12">
        <v>25.2</v>
      </c>
      <c r="F12" s="64">
        <v>27.123638</v>
      </c>
      <c r="G12" s="107">
        <v>24.784752999999998</v>
      </c>
      <c r="H12" s="107">
        <v>28.422754000000001</v>
      </c>
      <c r="I12" s="153">
        <v>29.207129999999999</v>
      </c>
      <c r="J12" s="152">
        <v>36.536186999999998</v>
      </c>
      <c r="K12" s="70"/>
      <c r="L12" s="72"/>
      <c r="M12" s="78"/>
    </row>
    <row r="13" spans="1:13" x14ac:dyDescent="0.2">
      <c r="A13" t="s">
        <v>62</v>
      </c>
      <c r="B13" s="70">
        <v>2.5</v>
      </c>
      <c r="C13" s="70">
        <v>2.6</v>
      </c>
      <c r="D13">
        <v>2.6</v>
      </c>
      <c r="E13">
        <v>2.6</v>
      </c>
      <c r="F13" s="64">
        <v>2.620333</v>
      </c>
      <c r="G13" s="107">
        <v>2.9358330000000001</v>
      </c>
      <c r="H13" s="107">
        <v>2.9848330000000001</v>
      </c>
      <c r="I13" s="153">
        <v>3.2238329999999999</v>
      </c>
      <c r="J13" s="76">
        <v>3.2243379999999999</v>
      </c>
      <c r="K13" s="70"/>
      <c r="L13" s="72"/>
      <c r="M13" s="78"/>
    </row>
    <row r="14" spans="1:13" x14ac:dyDescent="0.2">
      <c r="A14" t="s">
        <v>63</v>
      </c>
      <c r="B14" s="70">
        <v>18.5</v>
      </c>
      <c r="C14" s="70">
        <v>16.600000000000001</v>
      </c>
      <c r="D14">
        <v>16.7</v>
      </c>
      <c r="E14">
        <v>8.6</v>
      </c>
      <c r="F14" s="64">
        <v>8.3550129999999996</v>
      </c>
      <c r="G14" s="107">
        <v>8.3530130000000007</v>
      </c>
      <c r="H14" s="107">
        <v>8.8580129999999997</v>
      </c>
      <c r="I14" s="153">
        <v>9.9903110000000002</v>
      </c>
      <c r="J14" s="152">
        <v>9.4903110000000002</v>
      </c>
      <c r="K14" s="70"/>
      <c r="L14" s="72"/>
      <c r="M14" s="78"/>
    </row>
    <row r="15" spans="1:13" x14ac:dyDescent="0.2">
      <c r="A15" t="s">
        <v>64</v>
      </c>
      <c r="B15" s="70">
        <v>6.2</v>
      </c>
      <c r="C15" s="70">
        <v>6.9</v>
      </c>
      <c r="D15">
        <v>9.5</v>
      </c>
      <c r="E15">
        <v>7.3</v>
      </c>
      <c r="F15" s="64">
        <v>8.7784999999999993</v>
      </c>
      <c r="G15" s="107">
        <v>19.741906</v>
      </c>
      <c r="H15" s="108">
        <v>137.9135</v>
      </c>
      <c r="I15" s="153">
        <v>132.99424200000001</v>
      </c>
      <c r="J15" s="152">
        <v>132.460196</v>
      </c>
      <c r="K15" s="70"/>
      <c r="L15" s="72"/>
      <c r="M15" s="78"/>
    </row>
    <row r="16" spans="1:13" x14ac:dyDescent="0.2">
      <c r="A16" s="1" t="s">
        <v>65</v>
      </c>
      <c r="B16" s="59">
        <f>SUM(B17:B18)</f>
        <v>723.5</v>
      </c>
      <c r="C16" s="59">
        <f>SUM(C17:C18)</f>
        <v>736.8</v>
      </c>
      <c r="D16" s="59">
        <f>SUM(D17:D18)</f>
        <v>787.9</v>
      </c>
      <c r="E16" s="59">
        <v>775.4</v>
      </c>
      <c r="F16" s="67">
        <f>F17+F18</f>
        <v>747.19523700000002</v>
      </c>
      <c r="G16" s="61">
        <v>736.06521599999996</v>
      </c>
      <c r="H16" s="61">
        <f>H17+H18</f>
        <v>747.38834399999996</v>
      </c>
      <c r="I16" s="61">
        <f t="shared" ref="I16:J16" si="1">I17+I18</f>
        <v>778.46085000000005</v>
      </c>
      <c r="J16" s="61">
        <f t="shared" si="1"/>
        <v>778.89439900000002</v>
      </c>
      <c r="K16" s="59"/>
      <c r="L16" s="1"/>
      <c r="M16" s="68"/>
    </row>
    <row r="17" spans="1:15" x14ac:dyDescent="0.2">
      <c r="A17" t="s">
        <v>66</v>
      </c>
      <c r="B17" s="70">
        <v>666.5</v>
      </c>
      <c r="C17">
        <v>663.9</v>
      </c>
      <c r="D17">
        <v>718.9</v>
      </c>
      <c r="E17">
        <v>712.9</v>
      </c>
      <c r="F17" s="64">
        <v>683.72940400000005</v>
      </c>
      <c r="G17" s="107">
        <v>669.59010999999998</v>
      </c>
      <c r="H17" s="107">
        <v>676.42143799999997</v>
      </c>
      <c r="I17" s="153">
        <v>701.27470900000003</v>
      </c>
      <c r="J17" s="153">
        <v>704.915885</v>
      </c>
      <c r="K17" s="70"/>
      <c r="L17" s="72"/>
      <c r="M17" s="78"/>
    </row>
    <row r="18" spans="1:15" x14ac:dyDescent="0.2">
      <c r="A18" t="s">
        <v>67</v>
      </c>
      <c r="B18" s="70">
        <v>57</v>
      </c>
      <c r="C18">
        <v>72.900000000000006</v>
      </c>
      <c r="D18" s="109">
        <v>69</v>
      </c>
      <c r="E18" s="109">
        <v>62.5</v>
      </c>
      <c r="F18" s="64">
        <v>63.465833000000003</v>
      </c>
      <c r="G18" s="107">
        <v>66.475105999999997</v>
      </c>
      <c r="H18" s="107">
        <v>70.966905999999994</v>
      </c>
      <c r="I18" s="153">
        <v>77.186141000000006</v>
      </c>
      <c r="J18" s="153">
        <v>73.978514000000004</v>
      </c>
      <c r="K18" s="70"/>
      <c r="L18" s="72"/>
      <c r="M18" s="78"/>
    </row>
    <row r="19" spans="1:15" x14ac:dyDescent="0.2">
      <c r="A19" s="1" t="s">
        <v>68</v>
      </c>
      <c r="B19" s="59">
        <f>SUM(B20:B26)</f>
        <v>1097.5</v>
      </c>
      <c r="C19" s="59">
        <f>SUM(C20:C26)</f>
        <v>1076.5</v>
      </c>
      <c r="D19" s="59">
        <v>1079.5</v>
      </c>
      <c r="E19" s="59">
        <v>1085.9000000000001</v>
      </c>
      <c r="F19" s="59">
        <f>F20+F23+F22+F25+F26</f>
        <v>1095.795721</v>
      </c>
      <c r="G19" s="105">
        <v>1107.8124740000001</v>
      </c>
      <c r="H19" s="105">
        <f>H20+H23+H25+H26</f>
        <v>1132.9855480000001</v>
      </c>
      <c r="I19" s="105">
        <f>I20+I23+I25+I26+I27</f>
        <v>1233.2674050000001</v>
      </c>
      <c r="J19" s="105">
        <f>J20+J23+J25+J26+J27</f>
        <v>1260.7462539999999</v>
      </c>
      <c r="K19" s="59"/>
      <c r="L19" s="1"/>
      <c r="M19" s="63"/>
    </row>
    <row r="20" spans="1:15" x14ac:dyDescent="0.2">
      <c r="A20" t="s">
        <v>69</v>
      </c>
      <c r="B20" s="70">
        <v>219</v>
      </c>
      <c r="C20">
        <v>224.9</v>
      </c>
      <c r="D20">
        <v>226.5</v>
      </c>
      <c r="E20">
        <v>232.2</v>
      </c>
      <c r="F20" s="64">
        <v>248.941564</v>
      </c>
      <c r="G20" s="108">
        <v>264.78856100000002</v>
      </c>
      <c r="H20" s="107">
        <v>262.759523</v>
      </c>
      <c r="I20" s="76">
        <v>274.30188600000002</v>
      </c>
      <c r="J20" s="76">
        <v>265.30345699999998</v>
      </c>
      <c r="K20" s="70"/>
      <c r="L20" s="72"/>
      <c r="M20" s="78"/>
      <c r="N20" s="19"/>
      <c r="O20" s="19"/>
    </row>
    <row r="21" spans="1:15" x14ac:dyDescent="0.2">
      <c r="A21" t="s">
        <v>70</v>
      </c>
      <c r="B21" s="70">
        <v>33.5</v>
      </c>
      <c r="C21">
        <v>31.5</v>
      </c>
      <c r="D21">
        <v>31.9</v>
      </c>
      <c r="E21" s="111" t="s">
        <v>40</v>
      </c>
      <c r="F21" s="74" t="s">
        <v>47</v>
      </c>
      <c r="G21" s="74" t="s">
        <v>47</v>
      </c>
      <c r="H21" s="74" t="s">
        <v>47</v>
      </c>
      <c r="I21" s="115" t="s">
        <v>40</v>
      </c>
      <c r="J21" s="115" t="s">
        <v>40</v>
      </c>
      <c r="K21" s="70"/>
      <c r="N21" s="19"/>
    </row>
    <row r="22" spans="1:15" x14ac:dyDescent="0.2">
      <c r="A22" t="s">
        <v>71</v>
      </c>
      <c r="B22" s="70">
        <v>29.5</v>
      </c>
      <c r="C22">
        <v>29.5</v>
      </c>
      <c r="D22">
        <v>29.2</v>
      </c>
      <c r="E22" s="111">
        <v>22</v>
      </c>
      <c r="F22" s="64">
        <v>15.000999999999999</v>
      </c>
      <c r="G22" s="112" t="s">
        <v>47</v>
      </c>
      <c r="H22" s="74" t="s">
        <v>47</v>
      </c>
      <c r="I22" s="115" t="s">
        <v>40</v>
      </c>
      <c r="J22" s="115" t="s">
        <v>40</v>
      </c>
      <c r="K22" s="112"/>
      <c r="N22" s="22"/>
      <c r="O22" s="22"/>
    </row>
    <row r="23" spans="1:15" x14ac:dyDescent="0.2">
      <c r="A23" t="s">
        <v>72</v>
      </c>
      <c r="B23" s="111" t="s">
        <v>40</v>
      </c>
      <c r="C23" s="111" t="s">
        <v>40</v>
      </c>
      <c r="D23" s="111" t="s">
        <v>40</v>
      </c>
      <c r="E23" s="111">
        <v>83.7</v>
      </c>
      <c r="F23" s="113">
        <v>85.779737999999995</v>
      </c>
      <c r="G23" s="76">
        <v>89.254814999999994</v>
      </c>
      <c r="H23" s="107">
        <v>105.328895</v>
      </c>
      <c r="I23" s="153">
        <v>119.168406</v>
      </c>
      <c r="J23" s="153">
        <v>168.158153</v>
      </c>
      <c r="K23" s="151"/>
      <c r="L23" s="72"/>
      <c r="M23" s="78"/>
      <c r="N23" s="9"/>
      <c r="O23" s="9"/>
    </row>
    <row r="24" spans="1:15" x14ac:dyDescent="0.2">
      <c r="A24" t="s">
        <v>73</v>
      </c>
      <c r="B24" s="70">
        <v>54</v>
      </c>
      <c r="C24">
        <v>54.6</v>
      </c>
      <c r="D24" s="64">
        <v>52</v>
      </c>
      <c r="E24" s="114" t="s">
        <v>40</v>
      </c>
      <c r="F24" s="74" t="s">
        <v>47</v>
      </c>
      <c r="G24" s="74" t="s">
        <v>47</v>
      </c>
      <c r="H24" s="74" t="s">
        <v>47</v>
      </c>
      <c r="I24" s="115" t="s">
        <v>40</v>
      </c>
      <c r="J24" s="115" t="s">
        <v>40</v>
      </c>
      <c r="K24" s="70"/>
      <c r="N24" s="22"/>
      <c r="O24" s="22"/>
    </row>
    <row r="25" spans="1:15" x14ac:dyDescent="0.2">
      <c r="A25" t="s">
        <v>74</v>
      </c>
      <c r="B25" s="115">
        <v>17.5</v>
      </c>
      <c r="C25" s="115">
        <v>9.3000000000000007</v>
      </c>
      <c r="D25" s="115">
        <v>9.1999999999999993</v>
      </c>
      <c r="E25" s="115">
        <v>6.2</v>
      </c>
      <c r="F25" s="64">
        <v>6.1145589999999999</v>
      </c>
      <c r="G25" s="70">
        <v>6.0823590000000003</v>
      </c>
      <c r="H25" s="107">
        <v>6.6410590000000003</v>
      </c>
      <c r="I25" s="76">
        <v>8.3921589999999995</v>
      </c>
      <c r="J25" s="76">
        <v>8.1871589999999994</v>
      </c>
      <c r="K25" s="70"/>
      <c r="L25" s="72"/>
      <c r="M25" s="78"/>
      <c r="N25" s="22"/>
      <c r="O25" s="22"/>
    </row>
    <row r="26" spans="1:15" x14ac:dyDescent="0.2">
      <c r="A26" t="s">
        <v>183</v>
      </c>
      <c r="B26" s="70">
        <v>744</v>
      </c>
      <c r="C26">
        <v>726.7</v>
      </c>
      <c r="D26">
        <v>730.6</v>
      </c>
      <c r="E26">
        <v>741.8</v>
      </c>
      <c r="F26" s="64">
        <v>739.95885999999996</v>
      </c>
      <c r="G26" s="70">
        <v>747.68673899999999</v>
      </c>
      <c r="H26" s="107">
        <v>758.25607100000002</v>
      </c>
      <c r="I26" s="154">
        <v>776.40495399999998</v>
      </c>
      <c r="J26" s="76">
        <v>794.09748500000001</v>
      </c>
      <c r="K26" s="59"/>
      <c r="L26" s="72"/>
      <c r="M26" s="78"/>
    </row>
    <row r="27" spans="1:15" s="82" customFormat="1" x14ac:dyDescent="0.2">
      <c r="A27" s="82" t="s">
        <v>184</v>
      </c>
      <c r="B27" s="75"/>
      <c r="F27" s="64"/>
      <c r="G27" s="75"/>
      <c r="H27" s="107"/>
      <c r="I27" s="154">
        <v>55</v>
      </c>
      <c r="J27" s="76">
        <v>25</v>
      </c>
      <c r="K27" s="65"/>
      <c r="L27" s="72"/>
      <c r="M27" s="78"/>
    </row>
    <row r="28" spans="1:15" x14ac:dyDescent="0.2">
      <c r="A28" s="1" t="s">
        <v>75</v>
      </c>
      <c r="B28" s="59">
        <f>SUM(B29:B30)</f>
        <v>122.5</v>
      </c>
      <c r="C28" s="59">
        <f>SUM(C29:C30)</f>
        <v>125</v>
      </c>
      <c r="D28" s="59">
        <f>SUM(D29:D30)</f>
        <v>124</v>
      </c>
      <c r="E28" s="1">
        <v>118.6</v>
      </c>
      <c r="F28" s="67">
        <f>F29+F30</f>
        <v>114.539698</v>
      </c>
      <c r="G28" s="59">
        <v>117.233198</v>
      </c>
      <c r="H28" s="61">
        <f>H29+H30</f>
        <v>122.14769800000001</v>
      </c>
      <c r="I28" s="61">
        <f t="shared" ref="I28:J28" si="2">I29+I30</f>
        <v>116.57069800000001</v>
      </c>
      <c r="J28" s="61">
        <f t="shared" si="2"/>
        <v>111.881973</v>
      </c>
      <c r="K28" s="70"/>
      <c r="L28" s="1"/>
      <c r="M28" s="68"/>
    </row>
    <row r="29" spans="1:15" x14ac:dyDescent="0.2">
      <c r="A29" t="s">
        <v>76</v>
      </c>
      <c r="B29" s="76">
        <v>9.3000000000000007</v>
      </c>
      <c r="C29">
        <v>9.3000000000000007</v>
      </c>
      <c r="D29">
        <v>9.3000000000000007</v>
      </c>
      <c r="E29">
        <v>8.6999999999999993</v>
      </c>
      <c r="F29" s="64">
        <v>8.7863760000000006</v>
      </c>
      <c r="G29" s="70">
        <v>8.8603760000000005</v>
      </c>
      <c r="H29" s="107">
        <v>8.7863760000000006</v>
      </c>
      <c r="I29" s="155">
        <v>9.8789660000000001</v>
      </c>
      <c r="J29" s="153">
        <v>10.190241</v>
      </c>
      <c r="K29" s="70"/>
      <c r="L29" s="72"/>
      <c r="M29" s="78"/>
    </row>
    <row r="30" spans="1:15" x14ac:dyDescent="0.2">
      <c r="A30" t="s">
        <v>77</v>
      </c>
      <c r="B30" s="76">
        <v>113.2</v>
      </c>
      <c r="C30" s="70">
        <v>115.7</v>
      </c>
      <c r="D30">
        <v>114.7</v>
      </c>
      <c r="E30">
        <v>109.9</v>
      </c>
      <c r="F30" s="64">
        <v>105.753322</v>
      </c>
      <c r="G30" s="70">
        <v>108.372822</v>
      </c>
      <c r="H30" s="107">
        <v>113.361322</v>
      </c>
      <c r="I30" s="155">
        <v>106.691732</v>
      </c>
      <c r="J30" s="153">
        <v>101.691732</v>
      </c>
      <c r="K30" s="59"/>
      <c r="L30" s="72"/>
      <c r="M30" s="78"/>
    </row>
    <row r="31" spans="1:15" x14ac:dyDescent="0.2">
      <c r="A31" s="1" t="s">
        <v>185</v>
      </c>
      <c r="B31" s="59">
        <f>SUM(B32:B33)</f>
        <v>417.79999999999995</v>
      </c>
      <c r="C31" s="59">
        <f>SUM(C32:C33)</f>
        <v>419.9</v>
      </c>
      <c r="D31" s="59">
        <f>SUM(D32:D33)</f>
        <v>390.3</v>
      </c>
      <c r="E31" s="116">
        <f>E32+E33</f>
        <v>265.39999999999998</v>
      </c>
      <c r="F31" s="67">
        <f>F32+F33</f>
        <v>257.07151399999998</v>
      </c>
      <c r="G31" s="59">
        <v>256.348614</v>
      </c>
      <c r="H31" s="61">
        <f>H32+H33</f>
        <v>255.31544600000001</v>
      </c>
      <c r="I31" s="61">
        <f>I32+I33+I34+I35+I36</f>
        <v>292.57052399999998</v>
      </c>
      <c r="J31" s="61">
        <f>J32+J33+J34+J35+J36</f>
        <v>283.95193899999998</v>
      </c>
      <c r="K31" s="70"/>
      <c r="L31" s="1"/>
      <c r="M31" s="68"/>
    </row>
    <row r="32" spans="1:15" x14ac:dyDescent="0.2">
      <c r="A32" t="s">
        <v>78</v>
      </c>
      <c r="B32" s="70">
        <v>113.4</v>
      </c>
      <c r="C32">
        <v>115.4</v>
      </c>
      <c r="D32">
        <v>117.5</v>
      </c>
      <c r="E32">
        <v>119.6</v>
      </c>
      <c r="F32" s="64">
        <v>123.001014</v>
      </c>
      <c r="G32" s="70">
        <v>126.140282</v>
      </c>
      <c r="H32" s="107">
        <v>127.47623900000001</v>
      </c>
      <c r="I32" s="153">
        <v>132.47623899999999</v>
      </c>
      <c r="J32" s="153">
        <v>131.47623899999999</v>
      </c>
      <c r="K32" s="151"/>
      <c r="L32" s="72"/>
      <c r="M32" s="78"/>
    </row>
    <row r="33" spans="1:13" x14ac:dyDescent="0.2">
      <c r="A33" t="s">
        <v>79</v>
      </c>
      <c r="B33" s="70">
        <v>304.39999999999998</v>
      </c>
      <c r="C33">
        <v>304.5</v>
      </c>
      <c r="D33" s="117">
        <v>272.8</v>
      </c>
      <c r="E33" s="118">
        <v>145.80000000000001</v>
      </c>
      <c r="F33" s="113">
        <v>134.07050000000001</v>
      </c>
      <c r="G33" s="70">
        <v>130.20833200000001</v>
      </c>
      <c r="H33" s="107">
        <v>127.839207</v>
      </c>
      <c r="I33" s="153">
        <v>125.917207</v>
      </c>
      <c r="J33" s="153">
        <v>118.47890099999999</v>
      </c>
      <c r="K33" s="59"/>
      <c r="L33" s="72"/>
      <c r="M33" s="78"/>
    </row>
    <row r="34" spans="1:13" s="82" customFormat="1" x14ac:dyDescent="0.2">
      <c r="A34" s="82" t="s">
        <v>83</v>
      </c>
      <c r="B34" s="75"/>
      <c r="D34" s="117"/>
      <c r="E34" s="118"/>
      <c r="F34" s="113"/>
      <c r="G34" s="75"/>
      <c r="H34" s="107"/>
      <c r="I34" s="153">
        <v>1.5871599999999999</v>
      </c>
      <c r="J34" s="153">
        <v>1.5816600000000001</v>
      </c>
      <c r="K34" s="65"/>
      <c r="L34" s="72"/>
      <c r="M34" s="78"/>
    </row>
    <row r="35" spans="1:13" s="82" customFormat="1" x14ac:dyDescent="0.2">
      <c r="A35" s="82" t="s">
        <v>87</v>
      </c>
      <c r="B35" s="75"/>
      <c r="D35" s="117"/>
      <c r="E35" s="118"/>
      <c r="F35" s="113"/>
      <c r="G35" s="75"/>
      <c r="H35" s="107"/>
      <c r="I35" s="153">
        <v>30.923418000000002</v>
      </c>
      <c r="J35" s="153">
        <v>30.748639000000001</v>
      </c>
      <c r="K35" s="65"/>
      <c r="L35" s="72"/>
      <c r="M35" s="78"/>
    </row>
    <row r="36" spans="1:13" s="82" customFormat="1" x14ac:dyDescent="0.2">
      <c r="A36" s="82" t="s">
        <v>186</v>
      </c>
      <c r="B36" s="75"/>
      <c r="D36" s="117"/>
      <c r="E36" s="118"/>
      <c r="F36" s="113"/>
      <c r="G36" s="75"/>
      <c r="H36" s="107"/>
      <c r="I36" s="153">
        <v>1.6665000000000001</v>
      </c>
      <c r="J36" s="153">
        <v>1.6665000000000001</v>
      </c>
      <c r="K36" s="65"/>
      <c r="L36" s="72"/>
      <c r="M36" s="78"/>
    </row>
    <row r="37" spans="1:13" x14ac:dyDescent="0.2">
      <c r="A37" s="1" t="s">
        <v>80</v>
      </c>
      <c r="B37" s="59">
        <f>SUM(B38:B39)</f>
        <v>285.2</v>
      </c>
      <c r="C37" s="59">
        <f>SUM(C38:C39)</f>
        <v>303.8</v>
      </c>
      <c r="D37" s="59">
        <f>SUM(D38:D39)</f>
        <v>275</v>
      </c>
      <c r="E37" s="59">
        <v>267.5</v>
      </c>
      <c r="F37" s="67">
        <f>F38+F39</f>
        <v>261.79826800000001</v>
      </c>
      <c r="G37" s="59">
        <v>268.93202700000001</v>
      </c>
      <c r="H37" s="105">
        <f>H38+H39+H40+H41</f>
        <v>276.50204399999996</v>
      </c>
      <c r="I37" s="105">
        <f>I38+I39</f>
        <v>276.71430099999998</v>
      </c>
      <c r="J37" s="105">
        <f>J38+J39</f>
        <v>270.66166500000003</v>
      </c>
      <c r="K37" s="70"/>
      <c r="L37" s="1"/>
      <c r="M37" s="68"/>
    </row>
    <row r="38" spans="1:13" x14ac:dyDescent="0.2">
      <c r="A38" t="s">
        <v>81</v>
      </c>
      <c r="B38" s="70">
        <v>254.9</v>
      </c>
      <c r="C38">
        <v>252.8</v>
      </c>
      <c r="D38" s="117">
        <v>263.3</v>
      </c>
      <c r="E38" s="117">
        <v>255.1</v>
      </c>
      <c r="F38" s="64">
        <v>251.2697</v>
      </c>
      <c r="G38" s="70">
        <v>258.56976900000001</v>
      </c>
      <c r="H38" s="107">
        <v>257.31949300000002</v>
      </c>
      <c r="I38" s="153">
        <v>260.28224999999998</v>
      </c>
      <c r="J38" s="153">
        <v>255.40825000000001</v>
      </c>
      <c r="K38" s="75"/>
      <c r="L38" s="72"/>
      <c r="M38" s="78"/>
    </row>
    <row r="39" spans="1:13" x14ac:dyDescent="0.2">
      <c r="A39" t="s">
        <v>82</v>
      </c>
      <c r="B39" s="70">
        <v>30.3</v>
      </c>
      <c r="C39" s="115">
        <v>51</v>
      </c>
      <c r="D39">
        <v>11.7</v>
      </c>
      <c r="E39">
        <v>12.4</v>
      </c>
      <c r="F39" s="64">
        <v>10.528568</v>
      </c>
      <c r="G39" s="70">
        <v>10.362258000000001</v>
      </c>
      <c r="H39" s="107">
        <v>15.966551000000001</v>
      </c>
      <c r="I39" s="153">
        <v>16.432051000000001</v>
      </c>
      <c r="J39" s="153">
        <v>15.253415</v>
      </c>
      <c r="K39" s="62"/>
      <c r="L39" s="72"/>
      <c r="M39" s="78"/>
    </row>
    <row r="40" spans="1:13" x14ac:dyDescent="0.2">
      <c r="A40" t="s">
        <v>83</v>
      </c>
      <c r="B40" s="74" t="s">
        <v>47</v>
      </c>
      <c r="C40" s="74" t="s">
        <v>47</v>
      </c>
      <c r="D40" s="74" t="s">
        <v>47</v>
      </c>
      <c r="E40" s="74" t="s">
        <v>47</v>
      </c>
      <c r="F40" s="74" t="s">
        <v>47</v>
      </c>
      <c r="G40" s="74" t="s">
        <v>47</v>
      </c>
      <c r="H40" s="119">
        <v>1.5660000000000001</v>
      </c>
      <c r="I40" s="114" t="s">
        <v>40</v>
      </c>
      <c r="J40" s="114" t="s">
        <v>40</v>
      </c>
      <c r="K40" s="62"/>
      <c r="L40" s="72"/>
      <c r="M40" s="78"/>
    </row>
    <row r="41" spans="1:13" x14ac:dyDescent="0.2">
      <c r="A41" t="s">
        <v>186</v>
      </c>
      <c r="B41" s="74" t="s">
        <v>47</v>
      </c>
      <c r="C41" s="74" t="s">
        <v>47</v>
      </c>
      <c r="D41" s="74" t="s">
        <v>47</v>
      </c>
      <c r="E41" s="74" t="s">
        <v>47</v>
      </c>
      <c r="F41" s="74" t="s">
        <v>47</v>
      </c>
      <c r="G41" s="74" t="s">
        <v>47</v>
      </c>
      <c r="H41" s="119">
        <v>1.65</v>
      </c>
      <c r="I41" s="114" t="s">
        <v>40</v>
      </c>
      <c r="J41" s="114" t="s">
        <v>40</v>
      </c>
      <c r="K41" s="62"/>
      <c r="L41" s="72"/>
      <c r="M41" s="78"/>
    </row>
    <row r="42" spans="1:13" x14ac:dyDescent="0.2">
      <c r="A42" s="1" t="s">
        <v>84</v>
      </c>
      <c r="B42" s="59">
        <f>SUM(B43:B45)</f>
        <v>526.9</v>
      </c>
      <c r="C42" s="59">
        <f>SUM(C43:C45)</f>
        <v>523.9</v>
      </c>
      <c r="D42" s="85">
        <f>SUM(D43:D45)</f>
        <v>453</v>
      </c>
      <c r="E42" s="85">
        <v>285</v>
      </c>
      <c r="F42" s="120">
        <f>F43+F45</f>
        <v>141.66252900000001</v>
      </c>
      <c r="G42" s="59">
        <v>189.57121000000001</v>
      </c>
      <c r="H42" s="66">
        <f>H43+H45</f>
        <v>29.248639000000001</v>
      </c>
      <c r="I42" s="114" t="s">
        <v>40</v>
      </c>
      <c r="J42" s="114" t="s">
        <v>40</v>
      </c>
      <c r="K42" s="110"/>
      <c r="L42" s="86"/>
      <c r="M42" s="63"/>
    </row>
    <row r="43" spans="1:13" x14ac:dyDescent="0.2">
      <c r="A43" s="117" t="s">
        <v>85</v>
      </c>
      <c r="B43" s="70">
        <v>457.9</v>
      </c>
      <c r="C43">
        <v>389.9</v>
      </c>
      <c r="D43" s="121">
        <v>423.9</v>
      </c>
      <c r="E43" s="121">
        <v>255.9</v>
      </c>
      <c r="F43" s="122">
        <v>112.705429</v>
      </c>
      <c r="G43" s="76">
        <v>160.41771</v>
      </c>
      <c r="H43" s="108">
        <v>0.23713899999999999</v>
      </c>
      <c r="I43" s="114" t="s">
        <v>40</v>
      </c>
      <c r="J43" s="114" t="s">
        <v>40</v>
      </c>
      <c r="K43" s="70"/>
      <c r="L43" s="72"/>
      <c r="M43" s="78"/>
    </row>
    <row r="44" spans="1:13" x14ac:dyDescent="0.2">
      <c r="A44" s="117" t="s">
        <v>86</v>
      </c>
      <c r="B44" s="70">
        <v>40</v>
      </c>
      <c r="C44" s="109">
        <v>105</v>
      </c>
      <c r="D44" s="111">
        <v>0</v>
      </c>
      <c r="E44" s="114" t="s">
        <v>40</v>
      </c>
      <c r="F44" s="114" t="s">
        <v>40</v>
      </c>
      <c r="G44" s="114" t="s">
        <v>40</v>
      </c>
      <c r="H44" s="114" t="s">
        <v>40</v>
      </c>
      <c r="I44" s="114" t="s">
        <v>40</v>
      </c>
      <c r="J44" s="114" t="s">
        <v>40</v>
      </c>
      <c r="K44" s="70"/>
      <c r="L44" s="117"/>
      <c r="M44" s="73"/>
    </row>
    <row r="45" spans="1:13" x14ac:dyDescent="0.2">
      <c r="A45" s="123" t="s">
        <v>87</v>
      </c>
      <c r="B45" s="109">
        <v>29</v>
      </c>
      <c r="C45" s="109">
        <v>29</v>
      </c>
      <c r="D45" s="109">
        <v>29.1</v>
      </c>
      <c r="E45" s="109">
        <v>29.2</v>
      </c>
      <c r="F45" s="64">
        <v>28.957100000000001</v>
      </c>
      <c r="G45" s="70">
        <v>29.153500000000001</v>
      </c>
      <c r="H45" s="114">
        <v>29.011500000000002</v>
      </c>
      <c r="I45" s="114" t="s">
        <v>40</v>
      </c>
      <c r="J45" s="114" t="s">
        <v>40</v>
      </c>
      <c r="K45" s="124"/>
      <c r="L45" s="72"/>
      <c r="M45" s="78"/>
    </row>
    <row r="46" spans="1:13" x14ac:dyDescent="0.2">
      <c r="A46" s="125" t="s">
        <v>88</v>
      </c>
      <c r="B46" s="102">
        <v>198.1</v>
      </c>
      <c r="C46" s="102">
        <v>206.5</v>
      </c>
      <c r="D46" s="102">
        <v>150.1</v>
      </c>
      <c r="E46" s="102">
        <v>148.9</v>
      </c>
      <c r="F46" s="126">
        <v>150.6</v>
      </c>
      <c r="G46" s="95" t="s">
        <v>47</v>
      </c>
      <c r="H46" s="96" t="s">
        <v>47</v>
      </c>
      <c r="I46" s="96" t="s">
        <v>40</v>
      </c>
      <c r="J46" s="96" t="s">
        <v>40</v>
      </c>
    </row>
    <row r="47" spans="1:13" x14ac:dyDescent="0.2">
      <c r="L47" s="12"/>
      <c r="M47" s="12"/>
    </row>
    <row r="48" spans="1:13" x14ac:dyDescent="0.2">
      <c r="A48" s="38" t="s">
        <v>89</v>
      </c>
      <c r="L48" s="12"/>
      <c r="M48" s="12"/>
    </row>
    <row r="49" spans="1:7" x14ac:dyDescent="0.2">
      <c r="A49" s="38" t="s">
        <v>90</v>
      </c>
    </row>
    <row r="50" spans="1:7" x14ac:dyDescent="0.2">
      <c r="A50" s="38" t="s">
        <v>91</v>
      </c>
    </row>
    <row r="51" spans="1:7" x14ac:dyDescent="0.2">
      <c r="A51" s="127" t="s">
        <v>92</v>
      </c>
    </row>
    <row r="52" spans="1:7" x14ac:dyDescent="0.2">
      <c r="A52" s="38" t="s">
        <v>93</v>
      </c>
    </row>
    <row r="53" spans="1:7" x14ac:dyDescent="0.2">
      <c r="A53" s="97" t="s">
        <v>54</v>
      </c>
    </row>
    <row r="54" spans="1:7" ht="36.6" customHeight="1" x14ac:dyDescent="0.2">
      <c r="A54" s="157" t="s">
        <v>55</v>
      </c>
      <c r="B54" s="157"/>
      <c r="C54" s="157"/>
      <c r="D54" s="157"/>
      <c r="E54" s="157"/>
      <c r="F54" s="157"/>
      <c r="G54" s="157"/>
    </row>
    <row r="55" spans="1:7" x14ac:dyDescent="0.2">
      <c r="A55" s="159" t="s">
        <v>94</v>
      </c>
      <c r="B55" s="159"/>
      <c r="C55" s="159"/>
      <c r="D55" s="159"/>
      <c r="E55" s="159"/>
      <c r="F55" s="159"/>
      <c r="G55" s="159"/>
    </row>
    <row r="56" spans="1:7" x14ac:dyDescent="0.2">
      <c r="A56" s="99" t="s">
        <v>95</v>
      </c>
    </row>
    <row r="57" spans="1:7" x14ac:dyDescent="0.2">
      <c r="A57" s="99" t="s">
        <v>96</v>
      </c>
    </row>
    <row r="58" spans="1:7" x14ac:dyDescent="0.2">
      <c r="A58" s="98" t="s">
        <v>97</v>
      </c>
    </row>
    <row r="59" spans="1:7" x14ac:dyDescent="0.2">
      <c r="A59" s="127" t="s">
        <v>98</v>
      </c>
    </row>
    <row r="60" spans="1:7" x14ac:dyDescent="0.2">
      <c r="A60" s="149" t="s">
        <v>180</v>
      </c>
    </row>
    <row r="61" spans="1:7" s="82" customFormat="1" x14ac:dyDescent="0.2">
      <c r="A61" s="149"/>
    </row>
    <row r="62" spans="1:7" x14ac:dyDescent="0.2">
      <c r="A62" s="53" t="s">
        <v>176</v>
      </c>
    </row>
  </sheetData>
  <mergeCells count="2">
    <mergeCell ref="A54:G54"/>
    <mergeCell ref="A55:G55"/>
  </mergeCells>
  <pageMargins left="0.74791666666666701" right="0.74791666666666701" top="0.74791666666666701" bottom="0.7479166666666670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5"/>
  <sheetViews>
    <sheetView zoomScaleNormal="100" workbookViewId="0">
      <selection activeCell="I72" sqref="I72"/>
    </sheetView>
  </sheetViews>
  <sheetFormatPr baseColWidth="10" defaultColWidth="9.140625" defaultRowHeight="12.75" x14ac:dyDescent="0.2"/>
  <cols>
    <col min="1" max="1" width="51.5703125"/>
    <col min="8" max="8" width="9.140625" style="19"/>
    <col min="9" max="9" width="9.140625" style="117"/>
  </cols>
  <sheetData>
    <row r="2" spans="1:11" x14ac:dyDescent="0.2">
      <c r="A2" s="1" t="s">
        <v>192</v>
      </c>
    </row>
    <row r="3" spans="1:11" x14ac:dyDescent="0.2">
      <c r="A3" s="117" t="s">
        <v>99</v>
      </c>
    </row>
    <row r="4" spans="1:11" x14ac:dyDescent="0.2">
      <c r="A4" s="117"/>
    </row>
    <row r="5" spans="1:11" x14ac:dyDescent="0.2">
      <c r="A5" s="1" t="s">
        <v>100</v>
      </c>
      <c r="G5" s="128"/>
      <c r="H5" s="171"/>
      <c r="I5" s="128"/>
    </row>
    <row r="6" spans="1:11" x14ac:dyDescent="0.2">
      <c r="A6" s="4" t="s">
        <v>101</v>
      </c>
      <c r="B6" s="129" t="s">
        <v>102</v>
      </c>
      <c r="C6" s="129" t="s">
        <v>102</v>
      </c>
      <c r="D6" s="129" t="s">
        <v>102</v>
      </c>
      <c r="E6" s="129" t="s">
        <v>102</v>
      </c>
      <c r="F6" s="129" t="s">
        <v>102</v>
      </c>
      <c r="G6" s="129" t="s">
        <v>102</v>
      </c>
      <c r="H6" s="129" t="s">
        <v>102</v>
      </c>
      <c r="I6" s="129" t="s">
        <v>102</v>
      </c>
      <c r="J6" s="129" t="s">
        <v>33</v>
      </c>
      <c r="K6" s="129" t="s">
        <v>103</v>
      </c>
    </row>
    <row r="7" spans="1:11" x14ac:dyDescent="0.2">
      <c r="B7" s="54">
        <v>2009</v>
      </c>
      <c r="C7" s="54">
        <v>2010</v>
      </c>
      <c r="D7" s="54">
        <v>2011</v>
      </c>
      <c r="E7" s="54">
        <v>2012</v>
      </c>
      <c r="F7" s="57">
        <v>2013</v>
      </c>
      <c r="G7" s="57">
        <v>2014</v>
      </c>
      <c r="H7" s="54">
        <v>2015</v>
      </c>
      <c r="I7" s="54">
        <v>2016</v>
      </c>
      <c r="J7" s="54">
        <v>2017</v>
      </c>
      <c r="K7" s="54">
        <v>2018</v>
      </c>
    </row>
    <row r="8" spans="1:11" x14ac:dyDescent="0.2">
      <c r="A8" s="130" t="s">
        <v>4</v>
      </c>
      <c r="B8" s="131">
        <f t="shared" ref="B8:I8" si="0">SUM(B10:B72)</f>
        <v>1275509</v>
      </c>
      <c r="C8" s="131">
        <f t="shared" si="0"/>
        <v>1225302</v>
      </c>
      <c r="D8" s="131">
        <f t="shared" si="0"/>
        <v>1286603</v>
      </c>
      <c r="E8" s="131">
        <f t="shared" si="0"/>
        <v>1160299</v>
      </c>
      <c r="F8" s="131">
        <f t="shared" si="0"/>
        <v>1155369</v>
      </c>
      <c r="G8" s="132">
        <f t="shared" si="0"/>
        <v>1121202</v>
      </c>
      <c r="H8" s="132">
        <f>SUM(H10:H72)</f>
        <v>1198847</v>
      </c>
      <c r="I8" s="132">
        <f>SUM(I10:I72)</f>
        <v>1344615</v>
      </c>
      <c r="J8" s="132">
        <f>SUM(J10:J72)</f>
        <v>1265729</v>
      </c>
      <c r="K8" s="132">
        <f>SUM(K10:K72)</f>
        <v>1244914</v>
      </c>
    </row>
    <row r="9" spans="1:11" x14ac:dyDescent="0.2">
      <c r="A9" s="1" t="s">
        <v>104</v>
      </c>
      <c r="B9" s="1"/>
      <c r="G9" s="133"/>
      <c r="H9" s="166"/>
      <c r="I9" s="160"/>
      <c r="J9" s="160"/>
      <c r="K9" s="160"/>
    </row>
    <row r="10" spans="1:11" x14ac:dyDescent="0.2">
      <c r="A10" t="s">
        <v>105</v>
      </c>
      <c r="B10" s="9">
        <v>17378</v>
      </c>
      <c r="C10" s="9">
        <v>16187</v>
      </c>
      <c r="D10" s="9">
        <v>16909</v>
      </c>
      <c r="E10" s="9">
        <v>17178</v>
      </c>
      <c r="F10" s="9">
        <f>15671+1244+380</f>
        <v>17295</v>
      </c>
      <c r="G10" s="134">
        <v>16257</v>
      </c>
      <c r="H10" s="134">
        <v>16500</v>
      </c>
      <c r="I10" s="136">
        <v>18200</v>
      </c>
      <c r="J10" s="167">
        <v>18236</v>
      </c>
      <c r="K10" s="167">
        <v>18236</v>
      </c>
    </row>
    <row r="11" spans="1:11" x14ac:dyDescent="0.2">
      <c r="A11" t="s">
        <v>106</v>
      </c>
      <c r="B11" s="9">
        <v>48583</v>
      </c>
      <c r="C11" s="9">
        <v>43342</v>
      </c>
      <c r="D11" s="9">
        <v>33983</v>
      </c>
      <c r="E11" s="9">
        <v>31322</v>
      </c>
      <c r="F11" s="9">
        <f>14265+12413+225</f>
        <v>26903</v>
      </c>
      <c r="G11" s="134">
        <v>15181</v>
      </c>
      <c r="H11" s="134">
        <v>46675</v>
      </c>
      <c r="I11" s="136">
        <v>48520</v>
      </c>
      <c r="J11" s="167">
        <v>27383</v>
      </c>
      <c r="K11" s="167">
        <v>26383</v>
      </c>
    </row>
    <row r="12" spans="1:11" x14ac:dyDescent="0.2">
      <c r="A12" t="s">
        <v>107</v>
      </c>
      <c r="B12" s="9">
        <v>84025</v>
      </c>
      <c r="C12" s="9">
        <v>88643</v>
      </c>
      <c r="D12" s="9">
        <v>81308</v>
      </c>
      <c r="E12" s="9">
        <v>83080</v>
      </c>
      <c r="F12" s="9">
        <f>67139+19441</f>
        <v>86580</v>
      </c>
      <c r="G12" s="134">
        <v>80014</v>
      </c>
      <c r="H12" s="134">
        <v>78362</v>
      </c>
      <c r="I12" s="136">
        <v>81412</v>
      </c>
      <c r="J12" s="167">
        <v>86218</v>
      </c>
      <c r="K12" s="167">
        <v>89218</v>
      </c>
    </row>
    <row r="13" spans="1:11" x14ac:dyDescent="0.2">
      <c r="A13" t="s">
        <v>108</v>
      </c>
      <c r="B13" s="9">
        <v>693</v>
      </c>
      <c r="C13" s="135" t="s">
        <v>47</v>
      </c>
      <c r="D13" s="135" t="s">
        <v>47</v>
      </c>
      <c r="E13" s="135" t="s">
        <v>47</v>
      </c>
      <c r="F13" s="135" t="s">
        <v>47</v>
      </c>
      <c r="G13" s="135" t="s">
        <v>40</v>
      </c>
      <c r="H13" s="135" t="s">
        <v>40</v>
      </c>
      <c r="I13" s="136" t="s">
        <v>40</v>
      </c>
      <c r="J13" s="136" t="s">
        <v>40</v>
      </c>
      <c r="K13" s="136" t="s">
        <v>40</v>
      </c>
    </row>
    <row r="14" spans="1:11" x14ac:dyDescent="0.2">
      <c r="A14" t="s">
        <v>109</v>
      </c>
      <c r="B14" s="9">
        <v>52019</v>
      </c>
      <c r="C14" s="9">
        <v>48218</v>
      </c>
      <c r="D14" s="9">
        <v>50131</v>
      </c>
      <c r="E14" s="9">
        <v>49124</v>
      </c>
      <c r="F14" s="9">
        <f>44859+846</f>
        <v>45705</v>
      </c>
      <c r="G14" s="134">
        <v>42928</v>
      </c>
      <c r="H14" s="134">
        <v>42861</v>
      </c>
      <c r="I14" s="136">
        <v>44678</v>
      </c>
      <c r="J14" s="136">
        <v>46844</v>
      </c>
      <c r="K14" s="136">
        <v>47134</v>
      </c>
    </row>
    <row r="15" spans="1:11" x14ac:dyDescent="0.2">
      <c r="A15" t="s">
        <v>110</v>
      </c>
      <c r="B15" s="9">
        <v>22800</v>
      </c>
      <c r="C15" s="9">
        <v>32100</v>
      </c>
      <c r="D15" s="9">
        <v>27424</v>
      </c>
      <c r="E15" s="9">
        <v>25381</v>
      </c>
      <c r="F15" s="9">
        <f>2449+11280</f>
        <v>13729</v>
      </c>
      <c r="G15" s="134">
        <v>14749</v>
      </c>
      <c r="H15" s="134">
        <v>13813</v>
      </c>
      <c r="I15" s="136">
        <v>17592</v>
      </c>
      <c r="J15" s="136">
        <v>14574</v>
      </c>
      <c r="K15" s="136">
        <v>11574</v>
      </c>
    </row>
    <row r="16" spans="1:11" x14ac:dyDescent="0.2">
      <c r="A16" t="s">
        <v>111</v>
      </c>
      <c r="B16" s="9">
        <v>1413</v>
      </c>
      <c r="C16" s="9">
        <v>2840</v>
      </c>
      <c r="D16" s="9">
        <v>4548</v>
      </c>
      <c r="E16" s="9">
        <v>9405</v>
      </c>
      <c r="F16" s="9">
        <f>2148+7123+45</f>
        <v>9316</v>
      </c>
      <c r="G16" s="134">
        <v>10608</v>
      </c>
      <c r="H16" s="134">
        <v>11269</v>
      </c>
      <c r="I16" s="136">
        <v>12895</v>
      </c>
      <c r="J16" s="136">
        <v>13695</v>
      </c>
      <c r="K16" s="136">
        <v>13695</v>
      </c>
    </row>
    <row r="17" spans="1:11" x14ac:dyDescent="0.2">
      <c r="A17" t="s">
        <v>112</v>
      </c>
      <c r="B17" s="9">
        <v>3038</v>
      </c>
      <c r="C17" s="9">
        <v>3628</v>
      </c>
      <c r="D17" s="9">
        <v>4659</v>
      </c>
      <c r="E17" s="9">
        <v>4050</v>
      </c>
      <c r="F17" s="9">
        <f>2341+2051</f>
        <v>4392</v>
      </c>
      <c r="G17" s="134">
        <v>3375</v>
      </c>
      <c r="H17" s="134">
        <v>5544</v>
      </c>
      <c r="I17" s="136">
        <v>4132</v>
      </c>
      <c r="J17" s="136">
        <v>4048</v>
      </c>
      <c r="K17" s="136">
        <v>4028</v>
      </c>
    </row>
    <row r="18" spans="1:11" x14ac:dyDescent="0.2">
      <c r="A18" t="s">
        <v>113</v>
      </c>
      <c r="B18" s="9">
        <v>2240</v>
      </c>
      <c r="C18" s="9">
        <v>2638</v>
      </c>
      <c r="D18" s="9">
        <v>2611</v>
      </c>
      <c r="E18" s="136" t="s">
        <v>47</v>
      </c>
      <c r="F18" s="136" t="s">
        <v>47</v>
      </c>
      <c r="G18" s="136" t="s">
        <v>40</v>
      </c>
      <c r="H18" s="136" t="s">
        <v>40</v>
      </c>
      <c r="I18" s="136" t="s">
        <v>40</v>
      </c>
      <c r="J18" s="136" t="s">
        <v>40</v>
      </c>
      <c r="K18" s="136" t="s">
        <v>40</v>
      </c>
    </row>
    <row r="19" spans="1:11" x14ac:dyDescent="0.2">
      <c r="A19" t="s">
        <v>114</v>
      </c>
      <c r="B19" s="9">
        <v>24646</v>
      </c>
      <c r="C19" s="9">
        <v>6974</v>
      </c>
      <c r="D19" s="9">
        <v>85627</v>
      </c>
      <c r="E19" s="9">
        <v>5630</v>
      </c>
      <c r="F19" s="9">
        <f>10320+25229</f>
        <v>35549</v>
      </c>
      <c r="G19" s="134">
        <v>25350</v>
      </c>
      <c r="H19" s="134">
        <v>33568</v>
      </c>
      <c r="I19" s="168">
        <v>124455</v>
      </c>
      <c r="J19" s="136">
        <v>81589</v>
      </c>
      <c r="K19" s="136">
        <v>81589</v>
      </c>
    </row>
    <row r="20" spans="1:11" x14ac:dyDescent="0.2">
      <c r="A20" t="s">
        <v>115</v>
      </c>
      <c r="B20" s="135" t="s">
        <v>47</v>
      </c>
      <c r="C20" s="135" t="s">
        <v>47</v>
      </c>
      <c r="D20" s="135" t="s">
        <v>47</v>
      </c>
      <c r="E20" s="135" t="s">
        <v>47</v>
      </c>
      <c r="F20" s="135" t="s">
        <v>47</v>
      </c>
      <c r="G20" s="135" t="s">
        <v>40</v>
      </c>
      <c r="H20" s="135" t="s">
        <v>40</v>
      </c>
      <c r="I20" s="136" t="s">
        <v>40</v>
      </c>
      <c r="J20" s="136" t="s">
        <v>40</v>
      </c>
      <c r="K20" s="136" t="s">
        <v>40</v>
      </c>
    </row>
    <row r="21" spans="1:11" x14ac:dyDescent="0.2">
      <c r="A21" t="s">
        <v>116</v>
      </c>
      <c r="B21" s="9">
        <v>13520</v>
      </c>
      <c r="C21" s="9">
        <v>14022</v>
      </c>
      <c r="D21" s="9">
        <v>14583</v>
      </c>
      <c r="E21" s="9">
        <v>14218</v>
      </c>
      <c r="F21" s="9">
        <f>13985+240+26</f>
        <v>14251</v>
      </c>
      <c r="G21" s="134">
        <v>14773</v>
      </c>
      <c r="H21" s="134">
        <v>15485</v>
      </c>
      <c r="I21" s="136">
        <v>15147</v>
      </c>
      <c r="J21" s="136">
        <v>16325</v>
      </c>
      <c r="K21" s="136">
        <v>16325</v>
      </c>
    </row>
    <row r="22" spans="1:11" x14ac:dyDescent="0.2">
      <c r="A22" t="s">
        <v>117</v>
      </c>
      <c r="B22" s="135" t="s">
        <v>47</v>
      </c>
      <c r="C22" s="135" t="s">
        <v>47</v>
      </c>
      <c r="D22" s="135" t="s">
        <v>47</v>
      </c>
      <c r="E22" s="135" t="s">
        <v>47</v>
      </c>
      <c r="F22" s="9">
        <f>16992+4017</f>
        <v>21009</v>
      </c>
      <c r="G22" s="134">
        <v>17897</v>
      </c>
      <c r="H22" s="134">
        <v>17706</v>
      </c>
      <c r="I22" s="136">
        <v>17785</v>
      </c>
      <c r="J22" s="136">
        <v>19176</v>
      </c>
      <c r="K22" s="136">
        <v>19176</v>
      </c>
    </row>
    <row r="23" spans="1:11" x14ac:dyDescent="0.2">
      <c r="A23" t="s">
        <v>118</v>
      </c>
      <c r="B23" s="9">
        <v>14020</v>
      </c>
      <c r="C23" s="9">
        <v>15747</v>
      </c>
      <c r="D23" s="9">
        <v>14620</v>
      </c>
      <c r="E23" s="9">
        <v>13246</v>
      </c>
      <c r="F23" s="9">
        <f>7440+900+20</f>
        <v>8360</v>
      </c>
      <c r="G23" s="134">
        <v>9270</v>
      </c>
      <c r="H23" s="134">
        <v>7739</v>
      </c>
      <c r="I23" s="136">
        <v>9650</v>
      </c>
      <c r="J23" s="136">
        <v>8130</v>
      </c>
      <c r="K23" s="136">
        <v>7430</v>
      </c>
    </row>
    <row r="24" spans="1:11" x14ac:dyDescent="0.2">
      <c r="A24" t="s">
        <v>119</v>
      </c>
      <c r="B24" s="9">
        <v>129796</v>
      </c>
      <c r="C24" s="9">
        <v>128046</v>
      </c>
      <c r="D24" s="9">
        <v>116083</v>
      </c>
      <c r="E24" s="9">
        <v>115810</v>
      </c>
      <c r="F24" s="9">
        <f>88659+8777</f>
        <v>97436</v>
      </c>
      <c r="G24" s="134">
        <v>102279</v>
      </c>
      <c r="H24" s="134">
        <v>99946</v>
      </c>
      <c r="I24" s="136">
        <v>106091</v>
      </c>
      <c r="J24" s="136">
        <v>100910</v>
      </c>
      <c r="K24" s="136">
        <v>95931</v>
      </c>
    </row>
    <row r="25" spans="1:11" x14ac:dyDescent="0.2">
      <c r="A25" t="s">
        <v>120</v>
      </c>
      <c r="B25" s="9">
        <v>5040</v>
      </c>
      <c r="C25" s="9">
        <v>5008</v>
      </c>
      <c r="D25" s="9">
        <v>5940</v>
      </c>
      <c r="E25" s="9">
        <v>5843</v>
      </c>
      <c r="F25" s="9">
        <f>4005+967</f>
        <v>4972</v>
      </c>
      <c r="G25" s="134">
        <v>4877</v>
      </c>
      <c r="H25" s="134">
        <v>5217</v>
      </c>
      <c r="I25" s="136">
        <v>5003</v>
      </c>
      <c r="J25" s="136">
        <v>5012</v>
      </c>
      <c r="K25" s="136">
        <v>5012</v>
      </c>
    </row>
    <row r="26" spans="1:11" x14ac:dyDescent="0.2">
      <c r="A26" t="s">
        <v>121</v>
      </c>
      <c r="B26" s="9">
        <v>230</v>
      </c>
      <c r="C26" s="9">
        <v>327</v>
      </c>
      <c r="D26" s="9">
        <v>506</v>
      </c>
      <c r="E26" s="9">
        <v>690</v>
      </c>
      <c r="F26" s="9">
        <f>314+644</f>
        <v>958</v>
      </c>
      <c r="G26" s="134">
        <v>390</v>
      </c>
      <c r="H26" s="134">
        <v>366</v>
      </c>
      <c r="I26" s="136" t="s">
        <v>40</v>
      </c>
      <c r="J26" s="136" t="s">
        <v>40</v>
      </c>
      <c r="K26" s="136" t="s">
        <v>40</v>
      </c>
    </row>
    <row r="27" spans="1:11" x14ac:dyDescent="0.2">
      <c r="A27" t="s">
        <v>122</v>
      </c>
      <c r="B27" s="9">
        <v>310</v>
      </c>
      <c r="C27" s="9">
        <v>408</v>
      </c>
      <c r="D27" s="9">
        <v>597</v>
      </c>
      <c r="E27" s="9">
        <v>1158</v>
      </c>
      <c r="F27" s="9">
        <f>802+42</f>
        <v>844</v>
      </c>
      <c r="G27" s="134">
        <v>470</v>
      </c>
      <c r="H27" s="134">
        <v>286</v>
      </c>
      <c r="I27" s="136" t="s">
        <v>40</v>
      </c>
      <c r="J27" s="136" t="s">
        <v>40</v>
      </c>
      <c r="K27" s="136" t="s">
        <v>40</v>
      </c>
    </row>
    <row r="28" spans="1:11" s="82" customFormat="1" x14ac:dyDescent="0.2">
      <c r="A28" s="82" t="s">
        <v>187</v>
      </c>
      <c r="B28" s="135" t="s">
        <v>40</v>
      </c>
      <c r="C28" s="135" t="s">
        <v>40</v>
      </c>
      <c r="D28" s="135" t="s">
        <v>40</v>
      </c>
      <c r="E28" s="135" t="s">
        <v>40</v>
      </c>
      <c r="F28" s="135" t="s">
        <v>40</v>
      </c>
      <c r="G28" s="135" t="s">
        <v>40</v>
      </c>
      <c r="H28" s="135">
        <v>760</v>
      </c>
      <c r="I28" s="136">
        <v>638</v>
      </c>
      <c r="J28" s="136">
        <v>839</v>
      </c>
      <c r="K28" s="136">
        <v>839</v>
      </c>
    </row>
    <row r="29" spans="1:11" x14ac:dyDescent="0.2">
      <c r="A29" t="s">
        <v>123</v>
      </c>
      <c r="B29" s="9">
        <v>1270</v>
      </c>
      <c r="C29" s="136" t="s">
        <v>47</v>
      </c>
      <c r="D29" s="135">
        <v>6244</v>
      </c>
      <c r="E29" s="135">
        <v>9616</v>
      </c>
      <c r="F29" s="9">
        <f>4680+7332</f>
        <v>12012</v>
      </c>
      <c r="G29" s="134">
        <v>5588</v>
      </c>
      <c r="H29" s="134">
        <v>4060</v>
      </c>
      <c r="I29" s="136">
        <v>4442</v>
      </c>
      <c r="J29" s="136">
        <v>3897</v>
      </c>
      <c r="K29" s="136">
        <v>3897</v>
      </c>
    </row>
    <row r="30" spans="1:11" x14ac:dyDescent="0.2">
      <c r="A30" t="s">
        <v>124</v>
      </c>
      <c r="B30" s="9">
        <v>1520</v>
      </c>
      <c r="C30" s="9">
        <v>1957</v>
      </c>
      <c r="D30" s="9">
        <v>1861</v>
      </c>
      <c r="E30" s="136" t="s">
        <v>47</v>
      </c>
      <c r="F30" s="136" t="s">
        <v>47</v>
      </c>
      <c r="G30" s="136" t="s">
        <v>40</v>
      </c>
      <c r="H30" s="136" t="s">
        <v>40</v>
      </c>
      <c r="I30" s="136" t="s">
        <v>40</v>
      </c>
      <c r="J30" s="136" t="s">
        <v>40</v>
      </c>
      <c r="K30" s="136" t="s">
        <v>40</v>
      </c>
    </row>
    <row r="31" spans="1:11" x14ac:dyDescent="0.2">
      <c r="A31" s="12" t="s">
        <v>125</v>
      </c>
      <c r="B31" s="11">
        <v>22800</v>
      </c>
      <c r="C31" s="136" t="s">
        <v>47</v>
      </c>
      <c r="D31" s="136" t="s">
        <v>47</v>
      </c>
      <c r="E31" s="136" t="s">
        <v>47</v>
      </c>
      <c r="F31" s="136" t="s">
        <v>47</v>
      </c>
      <c r="G31" s="136" t="s">
        <v>40</v>
      </c>
      <c r="H31" s="136" t="s">
        <v>40</v>
      </c>
      <c r="I31" s="136" t="s">
        <v>40</v>
      </c>
      <c r="J31" s="136" t="s">
        <v>40</v>
      </c>
      <c r="K31" s="136" t="s">
        <v>40</v>
      </c>
    </row>
    <row r="32" spans="1:11" s="82" customFormat="1" x14ac:dyDescent="0.2">
      <c r="A32" s="36" t="s">
        <v>126</v>
      </c>
      <c r="B32" s="136" t="s">
        <v>47</v>
      </c>
      <c r="C32" s="36">
        <v>34510</v>
      </c>
      <c r="D32" s="36">
        <v>28734</v>
      </c>
      <c r="E32" s="36">
        <v>23436</v>
      </c>
      <c r="F32" s="11">
        <f>20176+146</f>
        <v>20322</v>
      </c>
      <c r="G32" s="161">
        <v>21155</v>
      </c>
      <c r="H32" s="161">
        <v>24194</v>
      </c>
      <c r="I32" s="141">
        <v>36097</v>
      </c>
      <c r="J32" s="141">
        <v>31728</v>
      </c>
      <c r="K32" s="141">
        <v>30728</v>
      </c>
    </row>
    <row r="33" spans="1:11" x14ac:dyDescent="0.2">
      <c r="A33" s="162" t="s">
        <v>65</v>
      </c>
      <c r="B33" s="163"/>
      <c r="C33" s="164"/>
      <c r="D33" s="164"/>
      <c r="E33" s="164"/>
      <c r="F33" s="164"/>
      <c r="G33" s="165"/>
      <c r="H33" s="172"/>
      <c r="I33" s="136"/>
      <c r="J33" s="136"/>
      <c r="K33" s="136"/>
    </row>
    <row r="34" spans="1:11" x14ac:dyDescent="0.2">
      <c r="A34" t="s">
        <v>127</v>
      </c>
      <c r="B34" s="9">
        <v>8187</v>
      </c>
      <c r="C34" s="9">
        <v>8421</v>
      </c>
      <c r="D34" s="9">
        <v>8949</v>
      </c>
      <c r="E34" s="9">
        <v>9159</v>
      </c>
      <c r="F34" s="9">
        <f>8133+478</f>
        <v>8611</v>
      </c>
      <c r="G34" s="134">
        <v>10013</v>
      </c>
      <c r="H34" s="134">
        <v>10264</v>
      </c>
      <c r="I34" s="136">
        <v>9656</v>
      </c>
      <c r="J34" s="169">
        <v>9430</v>
      </c>
      <c r="K34" s="169">
        <v>9430</v>
      </c>
    </row>
    <row r="35" spans="1:11" x14ac:dyDescent="0.2">
      <c r="A35" t="s">
        <v>128</v>
      </c>
      <c r="B35" s="9">
        <v>25364</v>
      </c>
      <c r="C35" s="9">
        <v>25749</v>
      </c>
      <c r="D35" s="9">
        <v>28767</v>
      </c>
      <c r="E35" s="9">
        <v>25629</v>
      </c>
      <c r="F35" s="9">
        <f>23299+1638+63</f>
        <v>25000</v>
      </c>
      <c r="G35" s="134">
        <v>24080</v>
      </c>
      <c r="H35" s="134">
        <v>47978</v>
      </c>
      <c r="I35" s="169">
        <v>39602</v>
      </c>
      <c r="J35" s="169">
        <v>36925</v>
      </c>
      <c r="K35" s="136">
        <v>36225</v>
      </c>
    </row>
    <row r="36" spans="1:11" x14ac:dyDescent="0.2">
      <c r="A36" t="s">
        <v>129</v>
      </c>
      <c r="B36" s="9">
        <v>11144</v>
      </c>
      <c r="C36" s="9">
        <v>10150</v>
      </c>
      <c r="D36" s="9">
        <v>12212</v>
      </c>
      <c r="E36" s="9">
        <v>10729</v>
      </c>
      <c r="F36" s="9">
        <f>6990+1379</f>
        <v>8369</v>
      </c>
      <c r="G36" s="134">
        <v>9720</v>
      </c>
      <c r="H36" s="134">
        <v>9546</v>
      </c>
      <c r="I36" s="169">
        <v>11585</v>
      </c>
      <c r="J36" s="169">
        <v>10056</v>
      </c>
      <c r="K36" s="136">
        <v>9967</v>
      </c>
    </row>
    <row r="37" spans="1:11" x14ac:dyDescent="0.2">
      <c r="A37" t="s">
        <v>130</v>
      </c>
      <c r="B37" s="9">
        <v>619</v>
      </c>
      <c r="C37" s="9">
        <v>590</v>
      </c>
      <c r="D37" s="9">
        <v>500</v>
      </c>
      <c r="E37" s="9">
        <v>500</v>
      </c>
      <c r="F37" s="9">
        <v>500</v>
      </c>
      <c r="G37" s="134">
        <v>500</v>
      </c>
      <c r="H37" s="134">
        <v>1768</v>
      </c>
      <c r="I37" s="170">
        <v>6803</v>
      </c>
      <c r="J37" s="169">
        <v>895</v>
      </c>
      <c r="K37" s="169">
        <v>895</v>
      </c>
    </row>
    <row r="38" spans="1:11" x14ac:dyDescent="0.2">
      <c r="A38" t="s">
        <v>131</v>
      </c>
      <c r="B38" s="9">
        <v>3842</v>
      </c>
      <c r="C38" s="9">
        <v>3864</v>
      </c>
      <c r="D38" s="9">
        <v>3885</v>
      </c>
      <c r="E38" s="9">
        <v>3909</v>
      </c>
      <c r="F38" s="9">
        <f>3870</f>
        <v>3870</v>
      </c>
      <c r="G38" s="134">
        <v>3831</v>
      </c>
      <c r="H38" s="134">
        <v>3870</v>
      </c>
      <c r="I38" s="169">
        <v>3870</v>
      </c>
      <c r="J38" s="169">
        <v>3870</v>
      </c>
      <c r="K38" s="169">
        <v>3870</v>
      </c>
    </row>
    <row r="39" spans="1:11" x14ac:dyDescent="0.2">
      <c r="A39" t="s">
        <v>132</v>
      </c>
      <c r="B39" s="9">
        <v>25070</v>
      </c>
      <c r="C39" s="9">
        <v>25527</v>
      </c>
      <c r="D39" s="9">
        <v>25542</v>
      </c>
      <c r="E39" s="9">
        <v>24606</v>
      </c>
      <c r="F39" s="9">
        <f>21063+2843+8</f>
        <v>23914</v>
      </c>
      <c r="G39" s="134">
        <v>23216</v>
      </c>
      <c r="H39" s="134">
        <v>23868</v>
      </c>
      <c r="I39" s="169">
        <v>23843</v>
      </c>
      <c r="J39" s="169">
        <v>25048</v>
      </c>
      <c r="K39" s="136">
        <v>24548</v>
      </c>
    </row>
    <row r="40" spans="1:11" x14ac:dyDescent="0.2">
      <c r="A40" t="s">
        <v>133</v>
      </c>
      <c r="B40" s="9">
        <v>10762</v>
      </c>
      <c r="C40" s="9">
        <v>8539</v>
      </c>
      <c r="D40" s="9">
        <v>12707</v>
      </c>
      <c r="E40" s="9">
        <v>11401</v>
      </c>
      <c r="F40" s="9">
        <f>10462+323</f>
        <v>10785</v>
      </c>
      <c r="G40" s="134">
        <v>11166</v>
      </c>
      <c r="H40" s="134">
        <v>15876</v>
      </c>
      <c r="I40" s="136">
        <v>16669</v>
      </c>
      <c r="J40" s="136">
        <v>14660</v>
      </c>
      <c r="K40" s="136">
        <v>12310</v>
      </c>
    </row>
    <row r="41" spans="1:11" x14ac:dyDescent="0.2">
      <c r="A41" t="s">
        <v>134</v>
      </c>
      <c r="B41" s="9">
        <v>111012</v>
      </c>
      <c r="C41" s="9">
        <v>114056</v>
      </c>
      <c r="D41" s="9">
        <v>112129</v>
      </c>
      <c r="E41" s="9">
        <v>108656</v>
      </c>
      <c r="F41" s="9">
        <f>100414</f>
        <v>100414</v>
      </c>
      <c r="G41" s="134">
        <v>100253</v>
      </c>
      <c r="H41" s="134">
        <v>99251</v>
      </c>
      <c r="I41" s="169">
        <v>98271</v>
      </c>
      <c r="J41" s="169">
        <v>98751</v>
      </c>
      <c r="K41" s="169">
        <v>98751</v>
      </c>
    </row>
    <row r="42" spans="1:11" x14ac:dyDescent="0.2">
      <c r="A42" t="s">
        <v>135</v>
      </c>
      <c r="B42" s="9">
        <v>9398</v>
      </c>
      <c r="C42" s="9">
        <v>9278</v>
      </c>
      <c r="D42" s="9">
        <v>9278</v>
      </c>
      <c r="E42" s="9">
        <v>9278</v>
      </c>
      <c r="F42" s="9">
        <f>9186</f>
        <v>9186</v>
      </c>
      <c r="G42" s="134">
        <v>9094</v>
      </c>
      <c r="H42" s="134">
        <v>7994</v>
      </c>
      <c r="I42" s="169">
        <v>7994</v>
      </c>
      <c r="J42" s="169">
        <v>7994</v>
      </c>
      <c r="K42" s="169">
        <v>7994</v>
      </c>
    </row>
    <row r="43" spans="1:11" x14ac:dyDescent="0.2">
      <c r="A43" t="s">
        <v>136</v>
      </c>
      <c r="B43" s="9">
        <v>1060</v>
      </c>
      <c r="C43" s="9">
        <v>2655</v>
      </c>
      <c r="D43" s="9">
        <v>3135</v>
      </c>
      <c r="E43" s="9">
        <v>2993</v>
      </c>
      <c r="F43" s="9">
        <f>3052+549</f>
        <v>3601</v>
      </c>
      <c r="G43" s="134">
        <v>4532</v>
      </c>
      <c r="H43" s="134">
        <v>3569</v>
      </c>
      <c r="I43" s="169">
        <v>3807</v>
      </c>
      <c r="J43" s="169">
        <v>4391</v>
      </c>
      <c r="K43" s="136">
        <v>4448</v>
      </c>
    </row>
    <row r="44" spans="1:11" x14ac:dyDescent="0.2">
      <c r="A44" t="s">
        <v>137</v>
      </c>
      <c r="B44" s="9">
        <v>24756</v>
      </c>
      <c r="C44" s="9">
        <v>26018</v>
      </c>
      <c r="D44" s="9">
        <v>28040</v>
      </c>
      <c r="E44" s="9">
        <v>28885</v>
      </c>
      <c r="F44" s="9">
        <f>27194+830</f>
        <v>28024</v>
      </c>
      <c r="G44" s="134">
        <v>25915</v>
      </c>
      <c r="H44" s="134">
        <v>25269</v>
      </c>
      <c r="I44" s="169">
        <v>26170</v>
      </c>
      <c r="J44" s="169">
        <v>25760</v>
      </c>
      <c r="K44" s="169">
        <v>25660</v>
      </c>
    </row>
    <row r="45" spans="1:11" x14ac:dyDescent="0.2">
      <c r="A45" t="s">
        <v>138</v>
      </c>
      <c r="B45" s="9">
        <v>14208</v>
      </c>
      <c r="C45" s="9">
        <v>14257</v>
      </c>
      <c r="D45" s="9">
        <v>15843</v>
      </c>
      <c r="E45" s="9">
        <v>13446</v>
      </c>
      <c r="F45" s="9">
        <f>13122+909</f>
        <v>14031</v>
      </c>
      <c r="G45" s="134">
        <v>14739</v>
      </c>
      <c r="H45" s="134">
        <v>13853</v>
      </c>
      <c r="I45" s="169">
        <v>14012</v>
      </c>
      <c r="J45" s="169">
        <v>14395</v>
      </c>
      <c r="K45" s="136">
        <v>14255</v>
      </c>
    </row>
    <row r="46" spans="1:11" x14ac:dyDescent="0.2">
      <c r="A46" t="s">
        <v>139</v>
      </c>
      <c r="B46" s="9">
        <v>11583</v>
      </c>
      <c r="C46" s="9">
        <v>8245</v>
      </c>
      <c r="D46" s="9">
        <v>10323</v>
      </c>
      <c r="E46" s="9">
        <v>9261</v>
      </c>
      <c r="F46" s="9">
        <f>9141+683</f>
        <v>9824</v>
      </c>
      <c r="G46" s="134">
        <v>10135</v>
      </c>
      <c r="H46" s="134">
        <v>11025</v>
      </c>
      <c r="I46" s="169">
        <v>10111</v>
      </c>
      <c r="J46" s="169">
        <v>10190</v>
      </c>
      <c r="K46" s="136">
        <v>10040</v>
      </c>
    </row>
    <row r="47" spans="1:11" x14ac:dyDescent="0.2">
      <c r="A47" t="s">
        <v>140</v>
      </c>
      <c r="B47" s="9">
        <v>14538</v>
      </c>
      <c r="C47" s="9">
        <v>10120</v>
      </c>
      <c r="D47" s="9">
        <v>13510</v>
      </c>
      <c r="E47" s="9">
        <v>12951</v>
      </c>
      <c r="F47" s="9">
        <f>11316+266+12</f>
        <v>11594</v>
      </c>
      <c r="G47" s="134">
        <v>12771</v>
      </c>
      <c r="H47" s="134">
        <v>13781</v>
      </c>
      <c r="I47" s="169">
        <v>13141</v>
      </c>
      <c r="J47" s="169">
        <v>12975</v>
      </c>
      <c r="K47" s="169">
        <v>12975</v>
      </c>
    </row>
    <row r="48" spans="1:11" x14ac:dyDescent="0.2">
      <c r="A48" s="143" t="s">
        <v>141</v>
      </c>
      <c r="B48" s="138">
        <v>9902</v>
      </c>
      <c r="C48" s="144">
        <v>10015</v>
      </c>
      <c r="D48" s="144">
        <v>10040</v>
      </c>
      <c r="E48" s="144">
        <v>9660</v>
      </c>
      <c r="F48" s="144">
        <f>9501+652+30</f>
        <v>10183</v>
      </c>
      <c r="G48" s="141">
        <v>9699</v>
      </c>
      <c r="H48" s="141">
        <v>10500</v>
      </c>
      <c r="I48" s="175">
        <v>10222</v>
      </c>
      <c r="J48" s="175">
        <v>10080</v>
      </c>
      <c r="K48" s="139">
        <v>9980</v>
      </c>
    </row>
    <row r="49" spans="1:11" x14ac:dyDescent="0.2">
      <c r="A49" s="1" t="s">
        <v>68</v>
      </c>
      <c r="B49" s="8"/>
      <c r="G49" s="142"/>
      <c r="H49" s="174"/>
      <c r="I49" s="136"/>
      <c r="J49" s="136"/>
      <c r="K49" s="136"/>
    </row>
    <row r="50" spans="1:11" x14ac:dyDescent="0.2">
      <c r="A50" t="s">
        <v>142</v>
      </c>
      <c r="B50" s="9">
        <v>6130</v>
      </c>
      <c r="C50" s="9">
        <v>5971</v>
      </c>
      <c r="D50" s="9">
        <v>6147</v>
      </c>
      <c r="E50" s="9">
        <v>6117</v>
      </c>
      <c r="F50" s="9">
        <f>4656+1314</f>
        <v>5970</v>
      </c>
      <c r="G50" s="134">
        <v>5957</v>
      </c>
      <c r="H50" s="134">
        <v>6006</v>
      </c>
      <c r="I50" s="169">
        <v>5805</v>
      </c>
      <c r="J50" s="169">
        <v>6100</v>
      </c>
      <c r="K50" s="169">
        <v>6100</v>
      </c>
    </row>
    <row r="51" spans="1:11" x14ac:dyDescent="0.2">
      <c r="A51" t="s">
        <v>143</v>
      </c>
      <c r="B51" s="9">
        <v>3233</v>
      </c>
      <c r="C51" s="9">
        <v>3540</v>
      </c>
      <c r="D51" s="9">
        <v>3389</v>
      </c>
      <c r="E51" s="9">
        <v>3252</v>
      </c>
      <c r="F51" s="9">
        <f>3179+39</f>
        <v>3218</v>
      </c>
      <c r="G51" s="134">
        <v>3233</v>
      </c>
      <c r="H51" s="134">
        <v>3418</v>
      </c>
      <c r="I51" s="169">
        <v>3404</v>
      </c>
      <c r="J51" s="169">
        <v>3397</v>
      </c>
      <c r="K51" s="169">
        <v>3397</v>
      </c>
    </row>
    <row r="52" spans="1:11" x14ac:dyDescent="0.2">
      <c r="A52" t="s">
        <v>144</v>
      </c>
      <c r="B52" s="9">
        <v>16235</v>
      </c>
      <c r="C52" s="9">
        <v>7040</v>
      </c>
      <c r="D52" s="135" t="s">
        <v>145</v>
      </c>
      <c r="E52" s="135" t="s">
        <v>145</v>
      </c>
      <c r="F52" s="135" t="s">
        <v>145</v>
      </c>
      <c r="G52" s="134"/>
      <c r="H52" s="137"/>
      <c r="I52" s="161"/>
      <c r="J52" s="161"/>
      <c r="K52" s="161"/>
    </row>
    <row r="53" spans="1:11" x14ac:dyDescent="0.2">
      <c r="A53" t="s">
        <v>146</v>
      </c>
      <c r="B53" s="9">
        <v>1770</v>
      </c>
      <c r="C53" s="9">
        <v>6084</v>
      </c>
      <c r="D53" s="9">
        <v>6481</v>
      </c>
      <c r="E53" s="9">
        <v>7307</v>
      </c>
      <c r="F53" s="9">
        <f>4468+1485</f>
        <v>5953</v>
      </c>
      <c r="G53" s="134">
        <v>6106</v>
      </c>
      <c r="H53" s="134">
        <v>7956</v>
      </c>
      <c r="I53" s="136">
        <v>11101</v>
      </c>
      <c r="J53" s="136">
        <v>10249</v>
      </c>
      <c r="K53" s="136">
        <v>10248</v>
      </c>
    </row>
    <row r="54" spans="1:11" x14ac:dyDescent="0.2">
      <c r="A54" t="s">
        <v>147</v>
      </c>
      <c r="B54" s="9">
        <v>3469</v>
      </c>
      <c r="C54" s="9">
        <v>3502</v>
      </c>
      <c r="D54" s="9">
        <v>3571</v>
      </c>
      <c r="E54" s="9">
        <v>3602</v>
      </c>
      <c r="F54" s="9">
        <f>3446+93+16</f>
        <v>3555</v>
      </c>
      <c r="G54" s="134">
        <v>3710</v>
      </c>
      <c r="H54" s="134">
        <v>3840</v>
      </c>
      <c r="I54" s="169">
        <v>3935</v>
      </c>
      <c r="J54" s="169">
        <v>3884</v>
      </c>
      <c r="K54" s="169">
        <v>3884</v>
      </c>
    </row>
    <row r="55" spans="1:11" x14ac:dyDescent="0.2">
      <c r="A55" t="s">
        <v>190</v>
      </c>
      <c r="B55" s="9">
        <v>14185</v>
      </c>
      <c r="C55" s="9">
        <v>13375</v>
      </c>
      <c r="D55" s="9">
        <v>13665</v>
      </c>
      <c r="E55" s="9">
        <v>12638</v>
      </c>
      <c r="F55" s="9">
        <f>12691+510+4</f>
        <v>13205</v>
      </c>
      <c r="G55" s="134">
        <v>13484</v>
      </c>
      <c r="H55" s="134">
        <v>14749</v>
      </c>
      <c r="I55" s="169">
        <v>17661</v>
      </c>
      <c r="J55" s="169">
        <v>14102</v>
      </c>
      <c r="K55" s="169">
        <v>14102</v>
      </c>
    </row>
    <row r="56" spans="1:11" x14ac:dyDescent="0.2">
      <c r="A56" t="s">
        <v>191</v>
      </c>
      <c r="B56" s="9">
        <v>24955</v>
      </c>
      <c r="C56" s="9">
        <v>24977</v>
      </c>
      <c r="D56" s="9">
        <v>25106</v>
      </c>
      <c r="E56" s="9">
        <v>25409</v>
      </c>
      <c r="F56" s="9">
        <f>24396+333+9</f>
        <v>24738</v>
      </c>
      <c r="G56" s="134">
        <v>25999</v>
      </c>
      <c r="H56" s="134">
        <v>28356</v>
      </c>
      <c r="I56" s="169">
        <v>28870</v>
      </c>
      <c r="J56" s="169">
        <v>25791</v>
      </c>
      <c r="K56" s="136">
        <v>25748</v>
      </c>
    </row>
    <row r="57" spans="1:11" x14ac:dyDescent="0.2">
      <c r="A57" t="s">
        <v>148</v>
      </c>
      <c r="B57" s="9">
        <v>2092</v>
      </c>
      <c r="C57" s="9">
        <v>2021</v>
      </c>
      <c r="D57" s="9">
        <v>2353</v>
      </c>
      <c r="E57" s="9">
        <v>2131</v>
      </c>
      <c r="F57" s="9">
        <f>1858+233+25</f>
        <v>2116</v>
      </c>
      <c r="G57" s="134">
        <v>2082</v>
      </c>
      <c r="H57" s="134">
        <v>2095</v>
      </c>
      <c r="I57" s="136">
        <v>1985</v>
      </c>
      <c r="J57" s="169">
        <v>1970</v>
      </c>
      <c r="K57" s="169">
        <v>1970</v>
      </c>
    </row>
    <row r="58" spans="1:11" x14ac:dyDescent="0.2">
      <c r="A58" t="s">
        <v>149</v>
      </c>
      <c r="B58" s="9">
        <v>54459</v>
      </c>
      <c r="C58" s="9">
        <v>47948</v>
      </c>
      <c r="D58" s="9">
        <v>48321</v>
      </c>
      <c r="E58" s="9">
        <v>46764</v>
      </c>
      <c r="F58" s="9">
        <f>43359+2058+1853</f>
        <v>47270</v>
      </c>
      <c r="G58" s="134">
        <v>51470</v>
      </c>
      <c r="H58" s="134">
        <v>49183</v>
      </c>
      <c r="I58" s="169">
        <v>58139</v>
      </c>
      <c r="J58" s="169">
        <v>53179</v>
      </c>
      <c r="K58" s="136">
        <v>52768</v>
      </c>
    </row>
    <row r="59" spans="1:11" x14ac:dyDescent="0.2">
      <c r="A59" t="s">
        <v>150</v>
      </c>
      <c r="B59" s="9">
        <v>33739</v>
      </c>
      <c r="C59" s="9">
        <v>10235</v>
      </c>
      <c r="D59" s="9">
        <v>10174</v>
      </c>
      <c r="E59" s="9">
        <v>9911</v>
      </c>
      <c r="F59" s="9">
        <f>8972+1776+66</f>
        <v>10814</v>
      </c>
      <c r="G59" s="134">
        <v>11266</v>
      </c>
      <c r="H59" s="134">
        <v>8647</v>
      </c>
      <c r="I59" s="169">
        <v>15843</v>
      </c>
      <c r="J59" s="169">
        <v>12488</v>
      </c>
      <c r="K59" s="136">
        <v>12184</v>
      </c>
    </row>
    <row r="60" spans="1:11" x14ac:dyDescent="0.2">
      <c r="A60" t="s">
        <v>151</v>
      </c>
      <c r="B60" s="9">
        <v>10924</v>
      </c>
      <c r="C60" s="9">
        <v>10371</v>
      </c>
      <c r="D60" s="9">
        <v>11500</v>
      </c>
      <c r="E60" s="9">
        <v>11605</v>
      </c>
      <c r="F60" s="9">
        <f>10781+596+19</f>
        <v>11396</v>
      </c>
      <c r="G60" s="134">
        <v>11216</v>
      </c>
      <c r="H60" s="134">
        <v>11483</v>
      </c>
      <c r="I60" s="169">
        <v>11709</v>
      </c>
      <c r="J60" s="169">
        <v>12071</v>
      </c>
      <c r="K60" s="169">
        <v>12031</v>
      </c>
    </row>
    <row r="61" spans="1:11" x14ac:dyDescent="0.2">
      <c r="A61" t="s">
        <v>152</v>
      </c>
      <c r="B61" s="9">
        <v>7135</v>
      </c>
      <c r="C61" s="9">
        <v>6806</v>
      </c>
      <c r="D61" s="9">
        <v>7388</v>
      </c>
      <c r="E61" s="9">
        <v>5675</v>
      </c>
      <c r="F61" s="9">
        <f>7460+184+27</f>
        <v>7671</v>
      </c>
      <c r="G61" s="134">
        <v>7564</v>
      </c>
      <c r="H61" s="134">
        <v>7903</v>
      </c>
      <c r="I61" s="169">
        <v>7950</v>
      </c>
      <c r="J61" s="169">
        <v>8387</v>
      </c>
      <c r="K61" s="169">
        <v>8387</v>
      </c>
    </row>
    <row r="62" spans="1:11" x14ac:dyDescent="0.2">
      <c r="A62" t="s">
        <v>153</v>
      </c>
      <c r="B62" s="9">
        <v>5268</v>
      </c>
      <c r="C62" s="9">
        <v>5463</v>
      </c>
      <c r="D62" s="9">
        <v>5482</v>
      </c>
      <c r="E62" s="9">
        <v>5465</v>
      </c>
      <c r="F62" s="9">
        <f>5091+318+12</f>
        <v>5421</v>
      </c>
      <c r="G62" s="134">
        <v>5549</v>
      </c>
      <c r="H62" s="134">
        <v>6734</v>
      </c>
      <c r="I62" s="136">
        <v>5893</v>
      </c>
      <c r="J62" s="136">
        <v>5675</v>
      </c>
      <c r="K62" s="136">
        <v>6407</v>
      </c>
    </row>
    <row r="63" spans="1:11" x14ac:dyDescent="0.2">
      <c r="A63" t="s">
        <v>154</v>
      </c>
      <c r="B63" s="9">
        <v>7668</v>
      </c>
      <c r="C63" s="9">
        <v>7560</v>
      </c>
      <c r="D63" s="9">
        <v>7876</v>
      </c>
      <c r="E63" s="135" t="s">
        <v>145</v>
      </c>
      <c r="F63" s="135" t="s">
        <v>145</v>
      </c>
      <c r="G63" s="134"/>
      <c r="H63" s="137"/>
      <c r="I63" s="168"/>
      <c r="J63" s="161"/>
      <c r="K63" s="161"/>
    </row>
    <row r="64" spans="1:11" x14ac:dyDescent="0.2">
      <c r="A64" t="s">
        <v>155</v>
      </c>
      <c r="B64" s="9">
        <v>6177</v>
      </c>
      <c r="C64" s="9">
        <v>6298</v>
      </c>
      <c r="D64" s="9">
        <v>6666</v>
      </c>
      <c r="E64" s="36">
        <v>6592</v>
      </c>
      <c r="F64" s="9">
        <f>6149+93+208</f>
        <v>6450</v>
      </c>
      <c r="G64" s="134">
        <v>6843</v>
      </c>
      <c r="H64" s="134">
        <v>6281</v>
      </c>
      <c r="I64" s="169">
        <v>6219</v>
      </c>
      <c r="J64" s="169">
        <v>6183</v>
      </c>
      <c r="K64" s="161">
        <v>6216</v>
      </c>
    </row>
    <row r="65" spans="1:11" x14ac:dyDescent="0.2">
      <c r="A65" s="143" t="s">
        <v>156</v>
      </c>
      <c r="B65" s="138">
        <v>8149</v>
      </c>
      <c r="C65" s="138">
        <v>9449</v>
      </c>
      <c r="D65" s="138">
        <v>10144</v>
      </c>
      <c r="E65" s="138">
        <v>8709</v>
      </c>
      <c r="F65" s="140">
        <f>8891</f>
        <v>8891</v>
      </c>
      <c r="G65" s="141">
        <v>8184</v>
      </c>
      <c r="H65" s="141">
        <v>9272</v>
      </c>
      <c r="I65" s="175">
        <v>10176</v>
      </c>
      <c r="J65" s="175">
        <v>11819</v>
      </c>
      <c r="K65" s="141">
        <v>12216</v>
      </c>
    </row>
    <row r="66" spans="1:11" x14ac:dyDescent="0.2">
      <c r="A66" s="1" t="s">
        <v>157</v>
      </c>
      <c r="B66" s="8"/>
      <c r="G66" s="142"/>
      <c r="H66" s="174"/>
      <c r="I66" s="136"/>
      <c r="J66" s="136"/>
      <c r="K66" s="136"/>
    </row>
    <row r="67" spans="1:11" x14ac:dyDescent="0.2">
      <c r="A67" t="s">
        <v>158</v>
      </c>
      <c r="B67" s="9">
        <v>202186</v>
      </c>
      <c r="C67" s="9">
        <v>202938</v>
      </c>
      <c r="D67" s="9">
        <v>201567</v>
      </c>
      <c r="E67" s="9">
        <v>197722</v>
      </c>
      <c r="F67" s="9">
        <f>183614+14716+52</f>
        <v>198382</v>
      </c>
      <c r="G67" s="134">
        <v>194873</v>
      </c>
      <c r="H67" s="134">
        <v>200109</v>
      </c>
      <c r="I67" s="169">
        <v>198556</v>
      </c>
      <c r="J67" s="169">
        <v>210066</v>
      </c>
      <c r="K67" s="161">
        <v>204366</v>
      </c>
    </row>
    <row r="68" spans="1:11" x14ac:dyDescent="0.2">
      <c r="A68" t="s">
        <v>159</v>
      </c>
      <c r="B68" s="9">
        <v>6470</v>
      </c>
      <c r="C68" s="9">
        <v>6587</v>
      </c>
      <c r="D68" s="9">
        <v>8354</v>
      </c>
      <c r="E68" s="9">
        <v>6826</v>
      </c>
      <c r="F68" s="9">
        <f>6434+353</f>
        <v>6787</v>
      </c>
      <c r="G68" s="134">
        <v>7109</v>
      </c>
      <c r="H68" s="134">
        <v>7290</v>
      </c>
      <c r="I68" s="161">
        <v>8223</v>
      </c>
      <c r="J68" s="161">
        <v>9654</v>
      </c>
      <c r="K68" s="161">
        <v>10654</v>
      </c>
    </row>
    <row r="69" spans="1:11" x14ac:dyDescent="0.2">
      <c r="A69" t="s">
        <v>160</v>
      </c>
      <c r="B69" s="9">
        <v>19015</v>
      </c>
      <c r="C69" s="9">
        <v>10075</v>
      </c>
      <c r="D69" s="9">
        <v>98</v>
      </c>
      <c r="E69" s="9">
        <v>20</v>
      </c>
      <c r="F69" s="135" t="s">
        <v>145</v>
      </c>
      <c r="G69" s="134"/>
      <c r="H69" s="137"/>
      <c r="I69" s="161"/>
      <c r="J69" s="161"/>
      <c r="K69" s="161"/>
    </row>
    <row r="70" spans="1:11" x14ac:dyDescent="0.2">
      <c r="A70" s="143" t="s">
        <v>161</v>
      </c>
      <c r="B70" s="138">
        <v>3330</v>
      </c>
      <c r="C70" s="138">
        <v>2899</v>
      </c>
      <c r="D70" s="138">
        <v>2509</v>
      </c>
      <c r="E70" s="138">
        <v>110</v>
      </c>
      <c r="F70" s="145" t="s">
        <v>145</v>
      </c>
      <c r="G70" s="141"/>
      <c r="H70" s="173"/>
      <c r="I70" s="176"/>
      <c r="J70" s="141"/>
      <c r="K70" s="141"/>
    </row>
    <row r="71" spans="1:11" x14ac:dyDescent="0.2">
      <c r="A71" s="1" t="s">
        <v>162</v>
      </c>
      <c r="B71" s="12"/>
      <c r="C71" s="12"/>
      <c r="D71" s="12"/>
      <c r="E71" s="12"/>
      <c r="G71" s="142"/>
      <c r="H71" s="174"/>
      <c r="I71" s="136"/>
      <c r="J71" s="136"/>
      <c r="K71" s="136"/>
    </row>
    <row r="72" spans="1:11" x14ac:dyDescent="0.2">
      <c r="A72" s="56" t="s">
        <v>163</v>
      </c>
      <c r="B72" s="25">
        <v>112134</v>
      </c>
      <c r="C72" s="25">
        <v>110084</v>
      </c>
      <c r="D72" s="25">
        <v>114584</v>
      </c>
      <c r="E72" s="25">
        <v>110194</v>
      </c>
      <c r="F72" s="25">
        <f>98445+7548</f>
        <v>105993</v>
      </c>
      <c r="G72" s="146">
        <v>101732</v>
      </c>
      <c r="H72" s="146">
        <v>102762</v>
      </c>
      <c r="I72" s="146">
        <v>106653</v>
      </c>
      <c r="J72" s="146">
        <v>106690</v>
      </c>
      <c r="K72" s="146">
        <v>101693</v>
      </c>
    </row>
    <row r="73" spans="1:11" x14ac:dyDescent="0.2">
      <c r="A73" s="38" t="s">
        <v>164</v>
      </c>
    </row>
    <row r="74" spans="1:11" x14ac:dyDescent="0.2">
      <c r="A74" s="38" t="s">
        <v>165</v>
      </c>
    </row>
    <row r="75" spans="1:11" x14ac:dyDescent="0.2">
      <c r="A75" s="38" t="s">
        <v>166</v>
      </c>
    </row>
    <row r="76" spans="1:11" x14ac:dyDescent="0.2">
      <c r="A76" s="38" t="s">
        <v>167</v>
      </c>
    </row>
    <row r="77" spans="1:11" x14ac:dyDescent="0.2">
      <c r="A77" s="38" t="s">
        <v>168</v>
      </c>
    </row>
    <row r="78" spans="1:11" x14ac:dyDescent="0.2">
      <c r="A78" s="38" t="s">
        <v>169</v>
      </c>
    </row>
    <row r="79" spans="1:11" x14ac:dyDescent="0.2">
      <c r="A79" s="38" t="s">
        <v>170</v>
      </c>
    </row>
    <row r="80" spans="1:11" x14ac:dyDescent="0.2">
      <c r="A80" s="38" t="s">
        <v>171</v>
      </c>
    </row>
    <row r="81" spans="1:1" x14ac:dyDescent="0.2">
      <c r="A81" s="38" t="s">
        <v>172</v>
      </c>
    </row>
    <row r="82" spans="1:1" x14ac:dyDescent="0.2">
      <c r="A82" s="38" t="s">
        <v>188</v>
      </c>
    </row>
    <row r="83" spans="1:1" x14ac:dyDescent="0.2">
      <c r="A83" s="38" t="s">
        <v>189</v>
      </c>
    </row>
    <row r="84" spans="1:1" x14ac:dyDescent="0.2">
      <c r="A84" s="38"/>
    </row>
    <row r="85" spans="1:1" x14ac:dyDescent="0.2">
      <c r="A85" s="53" t="s">
        <v>176</v>
      </c>
    </row>
  </sheetData>
  <pageMargins left="0.74791666666666701" right="0.74791666666666701" top="0.98402777777777795" bottom="0.98402777777777795" header="0.51180555555555496" footer="0.51180555555555496"/>
  <pageSetup paperSize="9" firstPageNumber="0" orientation="portrait" verticalDpi="0" r:id="rId1"/>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liste tableaux</vt:lpstr>
      <vt:lpstr>budget MC total série longue </vt:lpstr>
      <vt:lpstr>budget MC LFItype de dépense</vt:lpstr>
      <vt:lpstr>budget MC LFIaction</vt:lpstr>
      <vt:lpstr>opérateurs</vt:lpstr>
      <vt:lpstr>'budget MC total série longue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francois.tugores</cp:lastModifiedBy>
  <dcterms:modified xsi:type="dcterms:W3CDTF">2018-03-14T09:39:10Z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language>fr-FR</dc:language>
  <cp:lastModifiedBy>tristan picard</cp:lastModifiedBy>
  <dcterms:modified xsi:type="dcterms:W3CDTF">2016-09-09T09:43:28Z</dcterms:modified>
  <cp:revision>1</cp:revision>
</cp:coreProperties>
</file>