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943" activeTab="5"/>
  </bookViews>
  <sheets>
    <sheet name="Sommaire" sheetId="1" r:id="rId1"/>
    <sheet name="Repères" sheetId="2" r:id="rId2"/>
    <sheet name="Dépense culturelle" sheetId="4" r:id="rId3"/>
    <sheet name="Dépenses cult coll territoriale" sheetId="5" r:id="rId4"/>
    <sheet name="Dépenses cult du MC" sheetId="6" r:id="rId5"/>
    <sheet name="Dépenses communes et groupement" sheetId="15" r:id="rId6"/>
    <sheet name="Répartition équipements" sheetId="7" r:id="rId7"/>
    <sheet name="Répartition prof cult" sheetId="16" r:id="rId8"/>
    <sheet name="Répart emploi par secteur" sheetId="17" r:id="rId9"/>
    <sheet name="Entreprises culturelles" sheetId="11" r:id="rId10"/>
    <sheet name="Entreprises CA et salairés" sheetId="12" r:id="rId11"/>
    <sheet name="CA enteprises cult" sheetId="13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4" l="1"/>
  <c r="N22" i="7" l="1"/>
  <c r="G22" i="7"/>
  <c r="F22" i="7"/>
  <c r="E22" i="7"/>
  <c r="D22" i="7"/>
  <c r="M21" i="7"/>
  <c r="L21" i="7"/>
  <c r="K21" i="7"/>
  <c r="J21" i="7"/>
  <c r="I21" i="7"/>
  <c r="C21" i="7"/>
  <c r="B21" i="7"/>
  <c r="M20" i="7"/>
  <c r="L20" i="7" s="1"/>
  <c r="K20" i="7"/>
  <c r="J20" i="7"/>
  <c r="H20" i="7" s="1"/>
  <c r="I20" i="7"/>
  <c r="C20" i="7"/>
  <c r="B20" i="7"/>
  <c r="M19" i="7"/>
  <c r="L19" i="7" s="1"/>
  <c r="K19" i="7"/>
  <c r="J19" i="7"/>
  <c r="I19" i="7"/>
  <c r="C19" i="7"/>
  <c r="B19" i="7" s="1"/>
  <c r="M18" i="7"/>
  <c r="L18" i="7"/>
  <c r="J18" i="7"/>
  <c r="I18" i="7"/>
  <c r="C18" i="7"/>
  <c r="B18" i="7" s="1"/>
  <c r="M17" i="7"/>
  <c r="L17" i="7" s="1"/>
  <c r="K17" i="7"/>
  <c r="J17" i="7"/>
  <c r="I17" i="7"/>
  <c r="C17" i="7"/>
  <c r="B17" i="7" s="1"/>
  <c r="L16" i="7"/>
  <c r="H16" i="7"/>
  <c r="B16" i="7"/>
  <c r="L15" i="7"/>
  <c r="H15" i="7"/>
  <c r="B15" i="7"/>
  <c r="L14" i="7"/>
  <c r="I14" i="7"/>
  <c r="H14" i="7" s="1"/>
  <c r="C14" i="7"/>
  <c r="B14" i="7" s="1"/>
  <c r="M13" i="7"/>
  <c r="L13" i="7"/>
  <c r="K13" i="7"/>
  <c r="J13" i="7"/>
  <c r="I13" i="7"/>
  <c r="C13" i="7"/>
  <c r="B13" i="7" s="1"/>
  <c r="M12" i="7"/>
  <c r="L12" i="7"/>
  <c r="K12" i="7"/>
  <c r="J12" i="7"/>
  <c r="I12" i="7"/>
  <c r="C12" i="7"/>
  <c r="B12" i="7"/>
  <c r="L11" i="7"/>
  <c r="H11" i="7"/>
  <c r="B11" i="7"/>
  <c r="L10" i="7"/>
  <c r="H10" i="7"/>
  <c r="B10" i="7"/>
  <c r="M9" i="7"/>
  <c r="L9" i="7"/>
  <c r="K9" i="7"/>
  <c r="I9" i="7"/>
  <c r="C9" i="7"/>
  <c r="B9" i="7" s="1"/>
  <c r="L8" i="7"/>
  <c r="H8" i="7"/>
  <c r="C8" i="7"/>
  <c r="B8" i="7" s="1"/>
  <c r="M7" i="7"/>
  <c r="L7" i="7" s="1"/>
  <c r="J7" i="7"/>
  <c r="I7" i="7"/>
  <c r="C7" i="7"/>
  <c r="B7" i="7"/>
  <c r="M6" i="7"/>
  <c r="L6" i="7" s="1"/>
  <c r="K6" i="7"/>
  <c r="J6" i="7"/>
  <c r="I6" i="7"/>
  <c r="C6" i="7"/>
  <c r="B6" i="7" s="1"/>
  <c r="M5" i="7"/>
  <c r="L5" i="7"/>
  <c r="K5" i="7"/>
  <c r="J5" i="7"/>
  <c r="I5" i="7"/>
  <c r="C5" i="7"/>
  <c r="B5" i="7"/>
  <c r="M4" i="7"/>
  <c r="L4" i="7" s="1"/>
  <c r="K4" i="7"/>
  <c r="J4" i="7"/>
  <c r="J22" i="7" s="1"/>
  <c r="I4" i="7"/>
  <c r="C4" i="7"/>
  <c r="B4" i="7"/>
  <c r="H19" i="7" l="1"/>
  <c r="H18" i="7"/>
  <c r="H12" i="7"/>
  <c r="H21" i="7"/>
  <c r="K22" i="7"/>
  <c r="H7" i="7"/>
  <c r="C22" i="7"/>
  <c r="L22" i="7"/>
  <c r="H6" i="7"/>
  <c r="I22" i="7"/>
  <c r="M22" i="7"/>
  <c r="H5" i="7"/>
  <c r="H9" i="7"/>
  <c r="H13" i="7"/>
  <c r="H17" i="7"/>
  <c r="B22" i="7"/>
  <c r="H4" i="7"/>
  <c r="H22" i="7" l="1"/>
  <c r="B8" i="4" l="1"/>
  <c r="B7" i="4" l="1"/>
  <c r="B5" i="4"/>
  <c r="B9" i="4"/>
  <c r="B6" i="4"/>
</calcChain>
</file>

<file path=xl/sharedStrings.xml><?xml version="1.0" encoding="utf-8"?>
<sst xmlns="http://schemas.openxmlformats.org/spreadsheetml/2006/main" count="350" uniqueCount="178">
  <si>
    <t>Atlas 2018 région Auvergne-Rhône-Alpes</t>
  </si>
  <si>
    <t>SOMMAIRE</t>
  </si>
  <si>
    <t>Entreprises culturelles</t>
  </si>
  <si>
    <t>France</t>
  </si>
  <si>
    <t>En part de l'ensemble des secteurs marchands (%)</t>
  </si>
  <si>
    <t>France 
Hors Île-de-France</t>
  </si>
  <si>
    <t>Nombre d'établissements</t>
  </si>
  <si>
    <t>Chiffre d'affaires (millions d'euros)</t>
  </si>
  <si>
    <t>Valeur ajoutée (millions d'euros)</t>
  </si>
  <si>
    <t>Nombre de salariés en ETP</t>
  </si>
  <si>
    <t>Taux de marge (%)</t>
  </si>
  <si>
    <t>s.o.</t>
  </si>
  <si>
    <t>Champ : entreprises mono et quasi mono-régionales (plus de 80 % des effectifs sont situés dans la même région) des secteurs marchands principalement implantées dans la région, hors microentrepreneurs.</t>
  </si>
  <si>
    <t>Source : Insee, Sirene, Esane 2015 / Deps, ministère de la Culture 2018.</t>
  </si>
  <si>
    <t>s.o. : sans objet.</t>
  </si>
  <si>
    <t>Domaine</t>
  </si>
  <si>
    <t xml:space="preserve">Nombre d'établissements </t>
  </si>
  <si>
    <t xml:space="preserve">Chiffre d'affaires </t>
  </si>
  <si>
    <t>Effectifs ETP</t>
  </si>
  <si>
    <t>France hors IDF</t>
  </si>
  <si>
    <t>Enseignement culturel</t>
  </si>
  <si>
    <t>Agences de publicité</t>
  </si>
  <si>
    <t>Audiovisuel et Multimédia</t>
  </si>
  <si>
    <t>Spectacle vivant</t>
  </si>
  <si>
    <t>Architecture</t>
  </si>
  <si>
    <t>Arts visuels</t>
  </si>
  <si>
    <t>Livre et Presse</t>
  </si>
  <si>
    <t>Patrimoine</t>
  </si>
  <si>
    <t>Lecture : le livre et la presse représentent 18 % des établissements culturels en France, mais 27 % du chiffre d'affaires. À l'inverse, les arts visuels y représentent 28 % des établissements culturels, mais 6 % du chiffre d'affaires</t>
  </si>
  <si>
    <t>Répartition du chiffre d'affaire national des secteurs culturels par région en 2015</t>
  </si>
  <si>
    <t>Enseignement culturel
0,2 Mds €</t>
  </si>
  <si>
    <t>Patrimoine
0,4 mds €</t>
  </si>
  <si>
    <t>Arts visuels
3,9 Mds €</t>
  </si>
  <si>
    <t>Spectacle vivant
4,3 Mds €</t>
  </si>
  <si>
    <t>Architecture
5,5 Mds €</t>
  </si>
  <si>
    <t>Agences de publicité
11,5 Mds €</t>
  </si>
  <si>
    <t>Livre et Presse
18,1 Mds €</t>
  </si>
  <si>
    <t>Audiovisuel et Multimédia
22,4 Mds €</t>
  </si>
  <si>
    <t>Ensemble
66,3 Mds €</t>
  </si>
  <si>
    <t>Île-de-France</t>
  </si>
  <si>
    <t>Auvergne - Rhône-Alpes</t>
  </si>
  <si>
    <t>Provence - Alpes - Côte d'Azur</t>
  </si>
  <si>
    <t>Occitanie</t>
  </si>
  <si>
    <t>Nouvelle-Aquitaine</t>
  </si>
  <si>
    <t>Grand Est</t>
  </si>
  <si>
    <t>Hauts-de-France</t>
  </si>
  <si>
    <t>Bretagne</t>
  </si>
  <si>
    <t>Pays de la Loire</t>
  </si>
  <si>
    <t>Normandie</t>
  </si>
  <si>
    <t>Dom</t>
  </si>
  <si>
    <t>Bourgogne - Franche-Comté</t>
  </si>
  <si>
    <t>Centre - Val-de-Loire</t>
  </si>
  <si>
    <t>Corse</t>
  </si>
  <si>
    <t>Lecture : 87 % du chiffre d'affaires national de l'audiovisuel et du multimédia est réalisé en Île-de-France, et 5 % en Auvergne - Rhône-Alpes.</t>
  </si>
  <si>
    <t>France entière</t>
  </si>
  <si>
    <t>Effectifs</t>
  </si>
  <si>
    <t>Part (en%)</t>
  </si>
  <si>
    <t>Artistes plasticiens</t>
  </si>
  <si>
    <t>Concepteurs et assistants techniques des arts graphiques, de la mode et de la décoration</t>
  </si>
  <si>
    <t>Photographes</t>
  </si>
  <si>
    <t>Métiers d'art</t>
  </si>
  <si>
    <t>Artistes des spectacles</t>
  </si>
  <si>
    <t>Cadres artistiques, de programmation et de production des spectacles</t>
  </si>
  <si>
    <t>Techniciens des spectacles</t>
  </si>
  <si>
    <t>Journalistes et cadres de l'édition</t>
  </si>
  <si>
    <t>Auteurs littéraires</t>
  </si>
  <si>
    <t>Traducteurs</t>
  </si>
  <si>
    <t>Cadres et techniciens de l'archivage, de la conservation et de la documentation</t>
  </si>
  <si>
    <t>Architectes</t>
  </si>
  <si>
    <t>Professeurs d'art</t>
  </si>
  <si>
    <t>Ensemble des professions culturelles</t>
  </si>
  <si>
    <t>Part des professions culturelles dans l’emploi total</t>
  </si>
  <si>
    <t>-</t>
  </si>
  <si>
    <t>Note de lecture : en 2014 en France, les concepteurs et assistants techniques des arts graphiques, de la mode et de la décoration rassemblent 17 % de des professionnels de la culture, soit la première population de professionnels de la culture.</t>
  </si>
  <si>
    <t>Source : Insee, Recensement 2014 / DEPS, Ministère de la Culture, 2018</t>
  </si>
  <si>
    <t>Centre-Val de Loire</t>
  </si>
  <si>
    <t>Bourgogne-Franche Comté</t>
  </si>
  <si>
    <t>Grand-Est</t>
  </si>
  <si>
    <t>Auvergne-Rhône-Alpes</t>
  </si>
  <si>
    <t>PACA</t>
  </si>
  <si>
    <t>DOM</t>
  </si>
  <si>
    <t>Presse</t>
  </si>
  <si>
    <t>Livre</t>
  </si>
  <si>
    <t>Arts plastiques et autre création artistique</t>
  </si>
  <si>
    <t>Photographie</t>
  </si>
  <si>
    <t>Design</t>
  </si>
  <si>
    <t>Diffusion audiovisuelle</t>
  </si>
  <si>
    <t>Édition audiovisuelle</t>
  </si>
  <si>
    <t>Industrie du film, du phonogramme et du jeu électronique</t>
  </si>
  <si>
    <t>Publicité</t>
  </si>
  <si>
    <t>Enseignement artistique amateur</t>
  </si>
  <si>
    <t>Ensemble des secteurs culturels</t>
  </si>
  <si>
    <t>Part des secteurs culturels dans l’emploi total</t>
  </si>
  <si>
    <t>Note de lecture : En 2014 en France, le secteur du spectacle vivant rassemble 18 % des actifs des secteurs culturels, ce qui fait de lui le premier secteur culturel en France.</t>
  </si>
  <si>
    <t>Poids des entreprises culturelles dans les secteurs marchands en France en 2015</t>
  </si>
  <si>
    <t>Répartition du nombre d'établissements, du chiffre d'affaires et des effectifs salariés par domaine culturel en France en 2015</t>
  </si>
  <si>
    <t>Répartition de l'emploi par secteur culturel en France en 2014</t>
  </si>
  <si>
    <t>Répartition des professions culturelles en France en 2014</t>
  </si>
  <si>
    <t>Dépenses culturelles des communes et de leurs groupements en France en 2016</t>
  </si>
  <si>
    <t>Dépenses du ministère de la Culture et de ses opérateurs en France  en 2016</t>
  </si>
  <si>
    <t>Dépenses des collectivités territoriales en France en 2016</t>
  </si>
  <si>
    <t>Dépenses du ministère de la Culture et de ses opérateurs en France en 2016</t>
  </si>
  <si>
    <t>Poids des entreprises dans les secteurs culturels marchands en France en 2015</t>
  </si>
  <si>
    <t xml:space="preserve">Répartition du nombre d'établissements, du chiffre d'affaires et des effectifs salariés par domaine culturel en France en 2015 </t>
  </si>
  <si>
    <t>Etat **</t>
  </si>
  <si>
    <t>Région</t>
  </si>
  <si>
    <t>Départements</t>
  </si>
  <si>
    <t>EPCI*</t>
  </si>
  <si>
    <t>Communes*</t>
  </si>
  <si>
    <t>* Communes de plus de 3 500 habitants ; groupements composés d'au moins une commune de plus de 3 500 habitants.</t>
  </si>
  <si>
    <t>Note de lecture : en Île-de-France, 41 % de la dépense culturelle publique est portée par les communes</t>
  </si>
  <si>
    <t>Source : CNC/DABS/SRH/DEPS, Ministère de la Culture, 2018</t>
  </si>
  <si>
    <t>Répartition de la dépense culturelle publique en France en 2016</t>
  </si>
  <si>
    <t>Expression lyrique et chorégraphique</t>
  </si>
  <si>
    <t>Bibliothèques et médiathèques</t>
  </si>
  <si>
    <t>Action culturelle</t>
  </si>
  <si>
    <t>Musées</t>
  </si>
  <si>
    <t>Services communs</t>
  </si>
  <si>
    <t>Théâtres</t>
  </si>
  <si>
    <t>Cinémas et autres salles de spectacles</t>
  </si>
  <si>
    <t>Entretien du patrimoine culturel</t>
  </si>
  <si>
    <t>Arts plastiques et autres activités artistiques</t>
  </si>
  <si>
    <t>Archives</t>
  </si>
  <si>
    <t>non ventilé</t>
  </si>
  <si>
    <t>Note : communes de plus de 3 500 habitants et groupements comptant au moins une commune de plus de 3 500 habitants.</t>
  </si>
  <si>
    <t xml:space="preserve">Note de lecture : en 2016, les dépenses des communes et de leurs groupements de France entière en faveur de l'expression lyrique et chorégraphique s'élèvent à 1 428 millions d'euros. </t>
  </si>
  <si>
    <t>Source : DEPS, Ministère de la Culture, 2018</t>
  </si>
  <si>
    <t>Dépenses culturelles des communes et de leurs groupements par secteur d'intervention en France en 2016</t>
  </si>
  <si>
    <t>Principaux repères : population, superficie et PIB des régions françaises</t>
  </si>
  <si>
    <t>Répartition de la dépense culturelle publique en France</t>
  </si>
  <si>
    <t>Bourgogne-Franche-Comté</t>
  </si>
  <si>
    <t>Centre-Val-de-Loire</t>
  </si>
  <si>
    <t xml:space="preserve">Guadeloupe </t>
  </si>
  <si>
    <t>Guyane</t>
  </si>
  <si>
    <t>La Réunion</t>
  </si>
  <si>
    <t xml:space="preserve">Martinique </t>
  </si>
  <si>
    <t>Mayotte</t>
  </si>
  <si>
    <t>Nouvelle Aquitaine</t>
  </si>
  <si>
    <t>Provence-Alpes-Côte d'Azur</t>
  </si>
  <si>
    <t>Note : (1) : Estimations de population, données provisoires</t>
  </si>
  <si>
    <t>(2) : Population 2017 pour Mayotte</t>
  </si>
  <si>
    <t>Source : Insee / Deps, Ministère de la Culture, 2018</t>
  </si>
  <si>
    <t>Densité
(habitants / km²)</t>
  </si>
  <si>
    <t>Superficie
(km²)</t>
  </si>
  <si>
    <t>Part de la
superficie
(en %)</t>
  </si>
  <si>
    <t>Part du PIB
(en %)</t>
  </si>
  <si>
    <t>PIB
par habitants en 2015 (2)</t>
  </si>
  <si>
    <t>Population
2018
(en milliers) (1)</t>
  </si>
  <si>
    <t>Part de la
population
2018 (en %)</t>
  </si>
  <si>
    <t>PIB
2015
(en millions d'euros)</t>
  </si>
  <si>
    <t>1 : Musées de France, centres d'art contemporain, fonds régionaux d'art contemporain</t>
  </si>
  <si>
    <t>2 : Nombre d'établissement</t>
  </si>
  <si>
    <t>3 : Lieux de lecture publique ayant une surface supérieure à 100m²</t>
  </si>
  <si>
    <t>4 : Théâtres de ville, théâtres privés, centres dramatiques nationaux et régionaux, scènes nationales, scènes conventionnées et théâtres nationaux.</t>
  </si>
  <si>
    <t>5 : Zéniths, scènes de musique actuelles, orchestres permanents, opéras, centres chorégraphiques nationaux, centres de développement chorégraphique, centres nationaux de création musicale,</t>
  </si>
  <si>
    <t>6 : Pôles nationaux des arts du cirque, centres nationaux des arts de la rue</t>
  </si>
  <si>
    <t>7 : Conservatoires à rayonnement communal, intercommunal, départemental et régional</t>
  </si>
  <si>
    <t>8 : Etablissements de l'enseignement supérieur dépendant du ministère de la Culture</t>
  </si>
  <si>
    <t>Source : Atlas régional de la culture 2018, Deps, ministère de la Culture 2018</t>
  </si>
  <si>
    <t>Lieux de visite</t>
  </si>
  <si>
    <t>Cinéma (2)</t>
  </si>
  <si>
    <t>Lieux de lecture publique (3)</t>
  </si>
  <si>
    <t>Création et diffusion du spectacle vivant</t>
  </si>
  <si>
    <t>Enseignement</t>
  </si>
  <si>
    <t>dont Lieux d'exposition(1)</t>
  </si>
  <si>
    <t>dont Monuments nationaux</t>
  </si>
  <si>
    <t>dont Jardins remarquables</t>
  </si>
  <si>
    <t>dont Théâtres (4)</t>
  </si>
  <si>
    <t>dont Musique et danse (5)</t>
  </si>
  <si>
    <t>dont Cirque et arts de la rue (6)</t>
  </si>
  <si>
    <t>dont Conservatoires de musique, danse et art dramatique (7)</t>
  </si>
  <si>
    <t>dont Enseignement supérieur culture (8)</t>
  </si>
  <si>
    <t>Répartition des principaux équipements culturels en France en 2016</t>
  </si>
  <si>
    <t>En millions d'euros</t>
  </si>
  <si>
    <t>En milliers d'euros</t>
  </si>
  <si>
    <t>Dépenses culturelles des collectivités territoriales en euros par habitant en 2016</t>
  </si>
  <si>
    <t>En euros par habitant</t>
  </si>
  <si>
    <t>** Dépenses du ministère de la Culture, y compris dépenses de personnels et subventions du CNC, et hors sociétés de l'audiovisuel public.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</si>
</sst>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#,##0.0"/>
    <numFmt numFmtId="165" formatCode="0.0%"/>
    <numFmt numFmtId="166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1"/>
      <color theme="1"/>
      <name val="Liberation Sans"/>
      <family val="2"/>
    </font>
    <font>
      <i/>
      <sz val="8"/>
      <color theme="1"/>
      <name val="Arial"/>
      <family val="2"/>
    </font>
    <font>
      <sz val="8"/>
      <color theme="5" tint="-0.249977111117893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6">
    <xf numFmtId="0" fontId="0" fillId="0" borderId="0"/>
    <xf numFmtId="0" fontId="7" fillId="0" borderId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3" fillId="0" borderId="4" xfId="0" applyFont="1" applyBorder="1"/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4" fillId="0" borderId="6" xfId="0" applyFont="1" applyBorder="1"/>
    <xf numFmtId="3" fontId="4" fillId="0" borderId="7" xfId="0" applyNumberFormat="1" applyFont="1" applyBorder="1"/>
    <xf numFmtId="3" fontId="5" fillId="0" borderId="7" xfId="0" quotePrefix="1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4" fillId="0" borderId="9" xfId="0" applyNumberFormat="1" applyFont="1" applyBorder="1"/>
    <xf numFmtId="3" fontId="4" fillId="0" borderId="15" xfId="0" applyNumberFormat="1" applyFont="1" applyBorder="1" applyAlignment="1">
      <alignment wrapText="1"/>
    </xf>
    <xf numFmtId="3" fontId="4" fillId="0" borderId="10" xfId="0" applyNumberFormat="1" applyFont="1" applyBorder="1" applyAlignment="1">
      <alignment wrapText="1"/>
    </xf>
    <xf numFmtId="3" fontId="4" fillId="0" borderId="19" xfId="0" applyNumberFormat="1" applyFont="1" applyBorder="1" applyAlignment="1">
      <alignment wrapText="1"/>
    </xf>
    <xf numFmtId="3" fontId="6" fillId="0" borderId="11" xfId="0" applyNumberFormat="1" applyFont="1" applyBorder="1" applyAlignment="1">
      <alignment wrapText="1"/>
    </xf>
    <xf numFmtId="3" fontId="4" fillId="0" borderId="4" xfId="0" applyNumberFormat="1" applyFont="1" applyBorder="1"/>
    <xf numFmtId="3" fontId="4" fillId="0" borderId="16" xfId="0" applyNumberFormat="1" applyFont="1" applyBorder="1"/>
    <xf numFmtId="3" fontId="4" fillId="0" borderId="0" xfId="0" applyNumberFormat="1" applyFont="1" applyBorder="1"/>
    <xf numFmtId="3" fontId="4" fillId="0" borderId="20" xfId="0" applyNumberFormat="1" applyFont="1" applyBorder="1"/>
    <xf numFmtId="3" fontId="6" fillId="0" borderId="5" xfId="0" applyNumberFormat="1" applyFont="1" applyBorder="1"/>
    <xf numFmtId="3" fontId="4" fillId="0" borderId="12" xfId="0" applyNumberFormat="1" applyFont="1" applyBorder="1"/>
    <xf numFmtId="3" fontId="4" fillId="0" borderId="17" xfId="0" applyNumberFormat="1" applyFont="1" applyBorder="1"/>
    <xf numFmtId="3" fontId="4" fillId="0" borderId="13" xfId="0" applyNumberFormat="1" applyFont="1" applyBorder="1"/>
    <xf numFmtId="3" fontId="4" fillId="0" borderId="21" xfId="0" applyNumberFormat="1" applyFont="1" applyBorder="1"/>
    <xf numFmtId="3" fontId="6" fillId="0" borderId="14" xfId="0" applyNumberFormat="1" applyFont="1" applyBorder="1"/>
    <xf numFmtId="3" fontId="6" fillId="0" borderId="6" xfId="0" applyNumberFormat="1" applyFont="1" applyBorder="1"/>
    <xf numFmtId="3" fontId="6" fillId="0" borderId="18" xfId="0" applyNumberFormat="1" applyFont="1" applyBorder="1"/>
    <xf numFmtId="3" fontId="6" fillId="0" borderId="7" xfId="0" applyNumberFormat="1" applyFont="1" applyBorder="1"/>
    <xf numFmtId="3" fontId="6" fillId="0" borderId="22" xfId="0" applyNumberFormat="1" applyFont="1" applyBorder="1"/>
    <xf numFmtId="3" fontId="6" fillId="0" borderId="8" xfId="0" applyNumberFormat="1" applyFont="1" applyBorder="1"/>
    <xf numFmtId="0" fontId="3" fillId="0" borderId="9" xfId="0" applyFont="1" applyBorder="1"/>
    <xf numFmtId="164" fontId="3" fillId="0" borderId="10" xfId="0" applyNumberFormat="1" applyFont="1" applyBorder="1" applyAlignment="1">
      <alignment wrapText="1"/>
    </xf>
    <xf numFmtId="0" fontId="3" fillId="0" borderId="11" xfId="0" applyFont="1" applyBorder="1"/>
    <xf numFmtId="164" fontId="3" fillId="0" borderId="0" xfId="0" applyNumberFormat="1" applyFont="1" applyBorder="1" applyAlignment="1">
      <alignment wrapText="1"/>
    </xf>
    <xf numFmtId="0" fontId="3" fillId="0" borderId="0" xfId="0" applyFont="1" applyBorder="1"/>
    <xf numFmtId="0" fontId="3" fillId="0" borderId="5" xfId="0" applyFont="1" applyBorder="1"/>
    <xf numFmtId="3" fontId="3" fillId="0" borderId="5" xfId="0" applyNumberFormat="1" applyFont="1" applyBorder="1"/>
    <xf numFmtId="0" fontId="3" fillId="0" borderId="6" xfId="0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/>
    <xf numFmtId="0" fontId="8" fillId="0" borderId="0" xfId="0" applyFont="1" applyAlignment="1"/>
    <xf numFmtId="0" fontId="8" fillId="0" borderId="0" xfId="0" applyFont="1"/>
    <xf numFmtId="0" fontId="3" fillId="0" borderId="0" xfId="1" applyFont="1"/>
    <xf numFmtId="0" fontId="2" fillId="0" borderId="23" xfId="1" applyFont="1" applyBorder="1"/>
    <xf numFmtId="3" fontId="2" fillId="0" borderId="23" xfId="1" applyNumberFormat="1" applyFont="1" applyBorder="1"/>
    <xf numFmtId="0" fontId="8" fillId="0" borderId="0" xfId="1" applyFont="1"/>
    <xf numFmtId="0" fontId="2" fillId="0" borderId="28" xfId="1" applyFont="1" applyBorder="1"/>
    <xf numFmtId="0" fontId="3" fillId="0" borderId="29" xfId="1" applyFont="1" applyBorder="1"/>
    <xf numFmtId="3" fontId="3" fillId="0" borderId="0" xfId="1" applyNumberFormat="1" applyFont="1" applyBorder="1"/>
    <xf numFmtId="9" fontId="3" fillId="0" borderId="5" xfId="2" applyFont="1" applyBorder="1"/>
    <xf numFmtId="0" fontId="3" fillId="0" borderId="30" xfId="1" applyFont="1" applyBorder="1"/>
    <xf numFmtId="0" fontId="2" fillId="0" borderId="31" xfId="1" applyFont="1" applyBorder="1"/>
    <xf numFmtId="9" fontId="2" fillId="0" borderId="32" xfId="1" applyNumberFormat="1" applyFont="1" applyBorder="1"/>
    <xf numFmtId="0" fontId="2" fillId="0" borderId="33" xfId="1" applyFont="1" applyBorder="1"/>
    <xf numFmtId="0" fontId="3" fillId="0" borderId="34" xfId="1" applyFont="1" applyBorder="1"/>
    <xf numFmtId="165" fontId="2" fillId="0" borderId="35" xfId="2" applyNumberFormat="1" applyFont="1" applyBorder="1"/>
    <xf numFmtId="0" fontId="3" fillId="0" borderId="1" xfId="1" applyFont="1" applyBorder="1"/>
    <xf numFmtId="9" fontId="3" fillId="0" borderId="0" xfId="2" applyFont="1" applyBorder="1"/>
    <xf numFmtId="0" fontId="3" fillId="0" borderId="36" xfId="1" applyFont="1" applyBorder="1"/>
    <xf numFmtId="0" fontId="3" fillId="0" borderId="37" xfId="1" applyFont="1" applyBorder="1"/>
    <xf numFmtId="0" fontId="3" fillId="0" borderId="38" xfId="1" applyFont="1" applyBorder="1"/>
    <xf numFmtId="0" fontId="3" fillId="0" borderId="4" xfId="1" applyFont="1" applyBorder="1"/>
    <xf numFmtId="0" fontId="2" fillId="0" borderId="39" xfId="1" applyFont="1" applyBorder="1"/>
    <xf numFmtId="0" fontId="2" fillId="0" borderId="40" xfId="1" applyFont="1" applyBorder="1"/>
    <xf numFmtId="9" fontId="9" fillId="0" borderId="16" xfId="2" applyFont="1" applyBorder="1"/>
    <xf numFmtId="9" fontId="2" fillId="0" borderId="41" xfId="1" applyNumberFormat="1" applyFont="1" applyBorder="1"/>
    <xf numFmtId="0" fontId="2" fillId="0" borderId="42" xfId="1" applyFont="1" applyBorder="1"/>
    <xf numFmtId="0" fontId="2" fillId="0" borderId="15" xfId="1" applyFont="1" applyBorder="1" applyAlignment="1">
      <alignment vertical="center" wrapText="1"/>
    </xf>
    <xf numFmtId="0" fontId="2" fillId="0" borderId="10" xfId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2" fillId="0" borderId="46" xfId="1" applyFont="1" applyBorder="1"/>
    <xf numFmtId="0" fontId="3" fillId="0" borderId="51" xfId="1" applyFont="1" applyBorder="1"/>
    <xf numFmtId="0" fontId="3" fillId="0" borderId="50" xfId="1" applyFont="1" applyBorder="1"/>
    <xf numFmtId="0" fontId="3" fillId="0" borderId="52" xfId="1" applyFont="1" applyBorder="1"/>
    <xf numFmtId="0" fontId="2" fillId="0" borderId="27" xfId="1" applyFont="1" applyBorder="1"/>
    <xf numFmtId="9" fontId="2" fillId="0" borderId="28" xfId="2" applyFont="1" applyBorder="1"/>
    <xf numFmtId="0" fontId="2" fillId="0" borderId="54" xfId="1" applyFont="1" applyBorder="1"/>
    <xf numFmtId="0" fontId="5" fillId="0" borderId="0" xfId="0" applyFont="1"/>
    <xf numFmtId="9" fontId="3" fillId="0" borderId="0" xfId="0" applyNumberFormat="1" applyFont="1"/>
    <xf numFmtId="3" fontId="3" fillId="0" borderId="0" xfId="0" applyNumberFormat="1" applyFont="1"/>
    <xf numFmtId="0" fontId="10" fillId="0" borderId="0" xfId="3"/>
    <xf numFmtId="0" fontId="12" fillId="0" borderId="0" xfId="0" applyFont="1"/>
    <xf numFmtId="3" fontId="2" fillId="0" borderId="0" xfId="0" applyNumberFormat="1" applyFont="1"/>
    <xf numFmtId="1" fontId="12" fillId="0" borderId="0" xfId="0" applyNumberFormat="1" applyFont="1" applyBorder="1"/>
    <xf numFmtId="0" fontId="12" fillId="0" borderId="0" xfId="0" applyFont="1" applyBorder="1"/>
    <xf numFmtId="3" fontId="6" fillId="0" borderId="0" xfId="0" applyNumberFormat="1" applyFont="1" applyBorder="1"/>
    <xf numFmtId="1" fontId="14" fillId="0" borderId="0" xfId="0" applyNumberFormat="1" applyFont="1" applyFill="1" applyBorder="1"/>
    <xf numFmtId="0" fontId="13" fillId="0" borderId="0" xfId="0" applyFont="1" applyAlignment="1">
      <alignment horizontal="center" vertical="top" wrapText="1"/>
    </xf>
    <xf numFmtId="9" fontId="3" fillId="0" borderId="0" xfId="4" applyNumberFormat="1" applyFont="1"/>
    <xf numFmtId="9" fontId="3" fillId="0" borderId="0" xfId="4" applyFont="1"/>
    <xf numFmtId="9" fontId="2" fillId="0" borderId="0" xfId="4" applyNumberFormat="1" applyFont="1"/>
    <xf numFmtId="9" fontId="2" fillId="0" borderId="0" xfId="4" applyFont="1"/>
    <xf numFmtId="0" fontId="2" fillId="0" borderId="0" xfId="0" applyFont="1" applyAlignment="1">
      <alignment wrapText="1"/>
    </xf>
    <xf numFmtId="0" fontId="2" fillId="0" borderId="13" xfId="0" applyFont="1" applyBorder="1" applyAlignment="1">
      <alignment vertical="top" wrapText="1"/>
    </xf>
    <xf numFmtId="0" fontId="8" fillId="0" borderId="0" xfId="0" applyFont="1" applyAlignment="1">
      <alignment wrapText="1"/>
    </xf>
    <xf numFmtId="1" fontId="3" fillId="0" borderId="55" xfId="0" applyNumberFormat="1" applyFont="1" applyBorder="1"/>
    <xf numFmtId="0" fontId="3" fillId="0" borderId="55" xfId="0" applyFont="1" applyBorder="1"/>
    <xf numFmtId="1" fontId="3" fillId="0" borderId="56" xfId="0" applyNumberFormat="1" applyFont="1" applyBorder="1"/>
    <xf numFmtId="1" fontId="3" fillId="0" borderId="57" xfId="0" applyNumberFormat="1" applyFont="1" applyBorder="1"/>
    <xf numFmtId="3" fontId="6" fillId="0" borderId="58" xfId="0" applyNumberFormat="1" applyFont="1" applyBorder="1"/>
    <xf numFmtId="0" fontId="8" fillId="0" borderId="13" xfId="0" applyFont="1" applyBorder="1" applyAlignment="1">
      <alignment vertical="top" wrapText="1"/>
    </xf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Border="1"/>
    <xf numFmtId="1" fontId="3" fillId="0" borderId="0" xfId="0" applyNumberFormat="1" applyFont="1"/>
    <xf numFmtId="1" fontId="3" fillId="0" borderId="0" xfId="0" applyNumberFormat="1" applyFont="1" applyBorder="1"/>
    <xf numFmtId="0" fontId="3" fillId="0" borderId="0" xfId="0" applyFont="1" applyFill="1"/>
    <xf numFmtId="1" fontId="3" fillId="0" borderId="0" xfId="0" applyNumberFormat="1" applyFont="1" applyFill="1"/>
    <xf numFmtId="3" fontId="4" fillId="0" borderId="0" xfId="0" applyNumberFormat="1" applyFont="1"/>
    <xf numFmtId="3" fontId="6" fillId="0" borderId="0" xfId="0" applyNumberFormat="1" applyFont="1"/>
    <xf numFmtId="0" fontId="3" fillId="0" borderId="0" xfId="0" applyFont="1" applyAlignment="1">
      <alignment horizontal="right"/>
    </xf>
    <xf numFmtId="166" fontId="3" fillId="0" borderId="0" xfId="5" applyNumberFormat="1" applyFont="1"/>
    <xf numFmtId="0" fontId="4" fillId="0" borderId="0" xfId="0" applyFont="1"/>
    <xf numFmtId="0" fontId="2" fillId="0" borderId="0" xfId="0" applyFont="1" applyFill="1"/>
    <xf numFmtId="0" fontId="4" fillId="0" borderId="0" xfId="0" applyFont="1" applyFill="1"/>
    <xf numFmtId="3" fontId="3" fillId="0" borderId="0" xfId="0" applyNumberFormat="1" applyFont="1" applyFill="1"/>
    <xf numFmtId="0" fontId="2" fillId="0" borderId="25" xfId="1" applyFont="1" applyFill="1" applyBorder="1"/>
    <xf numFmtId="0" fontId="2" fillId="0" borderId="26" xfId="1" applyFont="1" applyFill="1" applyBorder="1"/>
    <xf numFmtId="0" fontId="3" fillId="0" borderId="24" xfId="1" applyFont="1" applyBorder="1" applyAlignment="1">
      <alignment horizontal="center"/>
    </xf>
    <xf numFmtId="0" fontId="3" fillId="0" borderId="27" xfId="1" applyFont="1" applyBorder="1" applyAlignment="1">
      <alignment horizontal="center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5" xfId="1" applyFont="1" applyBorder="1" applyAlignment="1">
      <alignment horizontal="center"/>
    </xf>
    <xf numFmtId="0" fontId="2" fillId="0" borderId="48" xfId="1" applyFont="1" applyFill="1" applyBorder="1"/>
    <xf numFmtId="0" fontId="2" fillId="0" borderId="49" xfId="1" applyFont="1" applyFill="1" applyBorder="1"/>
    <xf numFmtId="0" fontId="2" fillId="0" borderId="53" xfId="1" applyFont="1" applyFill="1" applyBorder="1"/>
    <xf numFmtId="0" fontId="3" fillId="0" borderId="47" xfId="1" applyFont="1" applyBorder="1" applyAlignment="1">
      <alignment horizontal="center"/>
    </xf>
    <xf numFmtId="0" fontId="3" fillId="0" borderId="50" xfId="1" applyFont="1" applyBorder="1" applyAlignment="1">
      <alignment horizontal="center"/>
    </xf>
    <xf numFmtId="0" fontId="3" fillId="0" borderId="52" xfId="1" applyFont="1" applyBorder="1" applyAlignment="1">
      <alignment horizontal="center"/>
    </xf>
  </cellXfs>
  <cellStyles count="6">
    <cellStyle name="Lien hypertexte" xfId="3" builtinId="8"/>
    <cellStyle name="Milliers" xfId="5" builtinId="3"/>
    <cellStyle name="Normal" xfId="0" builtinId="0"/>
    <cellStyle name="Normal 2" xfId="1"/>
    <cellStyle name="Pourcentage" xfId="4" builtinId="5"/>
    <cellStyle name="Pourcentag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opLeftCell="B1" workbookViewId="0">
      <selection activeCell="C12" sqref="C12"/>
    </sheetView>
  </sheetViews>
  <sheetFormatPr baseColWidth="10" defaultColWidth="9.140625" defaultRowHeight="15" x14ac:dyDescent="0.25"/>
  <sheetData>
    <row r="1" spans="1:3" x14ac:dyDescent="0.25">
      <c r="A1" s="1" t="s">
        <v>0</v>
      </c>
      <c r="B1" s="1" t="s">
        <v>3</v>
      </c>
    </row>
    <row r="6" spans="1:3" x14ac:dyDescent="0.25">
      <c r="C6" s="1" t="s">
        <v>1</v>
      </c>
    </row>
    <row r="7" spans="1:3" x14ac:dyDescent="0.25">
      <c r="C7" s="89" t="s">
        <v>128</v>
      </c>
    </row>
    <row r="8" spans="1:3" x14ac:dyDescent="0.25">
      <c r="C8" s="89" t="s">
        <v>129</v>
      </c>
    </row>
    <row r="9" spans="1:3" x14ac:dyDescent="0.25">
      <c r="C9" s="89" t="s">
        <v>100</v>
      </c>
    </row>
    <row r="10" spans="1:3" x14ac:dyDescent="0.25">
      <c r="C10" s="89" t="s">
        <v>101</v>
      </c>
    </row>
    <row r="11" spans="1:3" x14ac:dyDescent="0.25">
      <c r="C11" s="89" t="s">
        <v>98</v>
      </c>
    </row>
    <row r="12" spans="1:3" x14ac:dyDescent="0.25">
      <c r="C12" s="89" t="s">
        <v>172</v>
      </c>
    </row>
    <row r="13" spans="1:3" x14ac:dyDescent="0.25">
      <c r="C13" s="89" t="s">
        <v>97</v>
      </c>
    </row>
    <row r="14" spans="1:3" x14ac:dyDescent="0.25">
      <c r="C14" s="89" t="s">
        <v>96</v>
      </c>
    </row>
    <row r="15" spans="1:3" x14ac:dyDescent="0.25">
      <c r="C15" s="89" t="s">
        <v>102</v>
      </c>
    </row>
    <row r="16" spans="1:3" x14ac:dyDescent="0.25">
      <c r="C16" s="89" t="s">
        <v>103</v>
      </c>
    </row>
    <row r="17" spans="3:3" x14ac:dyDescent="0.25">
      <c r="C17" s="89" t="s">
        <v>29</v>
      </c>
    </row>
  </sheetData>
  <hyperlinks>
    <hyperlink ref="C9" location="'Dépenses cult coll territoriale'!A1" display="Dépenses des collectivités territoriales en France en 2016"/>
    <hyperlink ref="C10" location="'Dépenses cult du MC'!A1" display="Dépenses du ministère de la Culture et de ses opérateurs en France en 2016"/>
    <hyperlink ref="C11" location="'Dépenses communes et groupement'!A1" display="Dépenses culturelles des communes et de leurs groupements en France en 2016"/>
    <hyperlink ref="C12" location="'Répartition équipements'!A1" display="Répartition des principaux équipements culturels en France en 2016"/>
    <hyperlink ref="C13" location="'Répartition prof cult'!A1" display="Répartition des professions culturelles en France en 2014"/>
    <hyperlink ref="C14" location="'Répart emploi par secteur'!A1" display="Répartition de l'emploi par secteur culturel en France en 2014"/>
    <hyperlink ref="C15" location="'Entreprises culturelles'!A1" display="Poids des entreprises dans les secteurs culturels marchands en France en 2015"/>
    <hyperlink ref="C17" location="'CA enteprises cult'!A1" display="Répartition du chiffre d'affaire national des secteurs culturels par région en 2015"/>
    <hyperlink ref="C16" location="'Entreprises CA et salairés'!A1" display="Répartition du nombre d'établissements, du chiffre d'affaires et des effectifs salariés par domaine culturel en France en 2015 "/>
    <hyperlink ref="C7" location="Cadrage!A1" display="Principaux repères : population, superficie et PIB des régions françaises"/>
    <hyperlink ref="C8" location="'Dépense culturelle'!A1" display="Répartition de la dépense culturelle publique en France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H42" sqref="H42"/>
    </sheetView>
  </sheetViews>
  <sheetFormatPr baseColWidth="10" defaultColWidth="11.42578125" defaultRowHeight="11.25" x14ac:dyDescent="0.2"/>
  <cols>
    <col min="1" max="1" width="41.85546875" style="45" bestFit="1" customWidth="1"/>
    <col min="2" max="2" width="15.7109375" style="45" customWidth="1"/>
    <col min="3" max="3" width="22.7109375" style="45" customWidth="1"/>
    <col min="4" max="4" width="12.7109375" style="45" customWidth="1"/>
    <col min="5" max="5" width="22.7109375" style="45" customWidth="1"/>
    <col min="6" max="16384" width="11.42578125" style="45"/>
  </cols>
  <sheetData>
    <row r="1" spans="1:5" x14ac:dyDescent="0.2">
      <c r="A1" s="48" t="s">
        <v>94</v>
      </c>
    </row>
    <row r="2" spans="1:5" ht="12" thickBot="1" x14ac:dyDescent="0.25"/>
    <row r="3" spans="1:5" ht="33.75" x14ac:dyDescent="0.2">
      <c r="A3" s="2" t="s">
        <v>2</v>
      </c>
      <c r="B3" s="3" t="s">
        <v>3</v>
      </c>
      <c r="C3" s="4" t="s">
        <v>4</v>
      </c>
      <c r="D3" s="5" t="s">
        <v>5</v>
      </c>
      <c r="E3" s="6" t="s">
        <v>4</v>
      </c>
    </row>
    <row r="4" spans="1:5" x14ac:dyDescent="0.2">
      <c r="A4" s="7" t="s">
        <v>6</v>
      </c>
      <c r="B4" s="8">
        <v>139393</v>
      </c>
      <c r="C4" s="9">
        <v>4.893149176933786</v>
      </c>
      <c r="D4" s="8">
        <v>80986</v>
      </c>
      <c r="E4" s="10">
        <v>3.673780819730434</v>
      </c>
    </row>
    <row r="5" spans="1:5" x14ac:dyDescent="0.2">
      <c r="A5" s="7" t="s">
        <v>7</v>
      </c>
      <c r="B5" s="8">
        <v>66336.345667000031</v>
      </c>
      <c r="C5" s="9">
        <v>2.6404257029981775</v>
      </c>
      <c r="D5" s="8">
        <v>18974.153413</v>
      </c>
      <c r="E5" s="10">
        <v>1.1666053573270632</v>
      </c>
    </row>
    <row r="6" spans="1:5" x14ac:dyDescent="0.2">
      <c r="A6" s="7" t="s">
        <v>8</v>
      </c>
      <c r="B6" s="8">
        <v>25644.078633999998</v>
      </c>
      <c r="C6" s="9">
        <v>3.5615218466177767</v>
      </c>
      <c r="D6" s="8">
        <v>8120.3861269999998</v>
      </c>
      <c r="E6" s="10">
        <v>1.7198170233496644</v>
      </c>
    </row>
    <row r="7" spans="1:5" x14ac:dyDescent="0.2">
      <c r="A7" s="7" t="s">
        <v>9</v>
      </c>
      <c r="B7" s="8">
        <v>239583.79300000035</v>
      </c>
      <c r="C7" s="9">
        <v>2.7585966987542463</v>
      </c>
      <c r="D7" s="8">
        <v>96736.591</v>
      </c>
      <c r="E7" s="10">
        <v>1.5185957228763518</v>
      </c>
    </row>
    <row r="8" spans="1:5" ht="12" thickBot="1" x14ac:dyDescent="0.25">
      <c r="A8" s="11" t="s">
        <v>10</v>
      </c>
      <c r="B8" s="12">
        <v>28.351541695509255</v>
      </c>
      <c r="C8" s="13" t="s">
        <v>11</v>
      </c>
      <c r="D8" s="12">
        <v>26.524460214040062</v>
      </c>
      <c r="E8" s="14" t="s">
        <v>11</v>
      </c>
    </row>
    <row r="9" spans="1:5" x14ac:dyDescent="0.2">
      <c r="C9" s="46"/>
      <c r="E9" s="46"/>
    </row>
    <row r="10" spans="1:5" x14ac:dyDescent="0.2">
      <c r="A10" s="49" t="s">
        <v>12</v>
      </c>
      <c r="B10" s="47"/>
      <c r="C10" s="47"/>
      <c r="D10" s="47"/>
    </row>
    <row r="11" spans="1:5" x14ac:dyDescent="0.2">
      <c r="A11" s="49" t="s">
        <v>13</v>
      </c>
      <c r="B11" s="47"/>
      <c r="C11" s="46"/>
      <c r="D11" s="47"/>
      <c r="E11" s="46"/>
    </row>
    <row r="12" spans="1:5" x14ac:dyDescent="0.2">
      <c r="A12" s="49" t="s">
        <v>14</v>
      </c>
      <c r="B12" s="47"/>
      <c r="C12" s="46"/>
      <c r="D12" s="47"/>
      <c r="E12" s="46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E25" sqref="E25"/>
    </sheetView>
  </sheetViews>
  <sheetFormatPr baseColWidth="10" defaultColWidth="11.42578125" defaultRowHeight="11.25" x14ac:dyDescent="0.2"/>
  <cols>
    <col min="1" max="1" width="25" style="45" bestFit="1" customWidth="1"/>
    <col min="2" max="2" width="15.7109375" style="45" customWidth="1"/>
    <col min="3" max="3" width="13.7109375" style="45" bestFit="1" customWidth="1"/>
    <col min="4" max="4" width="11.42578125" style="45"/>
    <col min="5" max="5" width="14.42578125" style="45" bestFit="1" customWidth="1"/>
    <col min="6" max="16384" width="11.42578125" style="45"/>
  </cols>
  <sheetData>
    <row r="1" spans="1:10" x14ac:dyDescent="0.2">
      <c r="A1" s="48" t="s">
        <v>95</v>
      </c>
    </row>
    <row r="2" spans="1:10" ht="12" thickBot="1" x14ac:dyDescent="0.25"/>
    <row r="3" spans="1:10" ht="22.5" x14ac:dyDescent="0.2">
      <c r="A3" s="35" t="s">
        <v>15</v>
      </c>
      <c r="B3" s="36" t="s">
        <v>16</v>
      </c>
      <c r="C3" s="36"/>
      <c r="D3" s="36" t="s">
        <v>17</v>
      </c>
      <c r="E3" s="36"/>
      <c r="F3" s="36" t="s">
        <v>18</v>
      </c>
      <c r="G3" s="37"/>
    </row>
    <row r="4" spans="1:10" x14ac:dyDescent="0.2">
      <c r="A4" s="7"/>
      <c r="B4" s="38" t="s">
        <v>3</v>
      </c>
      <c r="C4" s="39" t="s">
        <v>19</v>
      </c>
      <c r="D4" s="38" t="s">
        <v>3</v>
      </c>
      <c r="E4" s="39" t="s">
        <v>19</v>
      </c>
      <c r="F4" s="38" t="s">
        <v>3</v>
      </c>
      <c r="G4" s="40" t="s">
        <v>19</v>
      </c>
    </row>
    <row r="5" spans="1:10" x14ac:dyDescent="0.2">
      <c r="A5" s="7" t="s">
        <v>20</v>
      </c>
      <c r="B5" s="8">
        <v>1.6392501775555444</v>
      </c>
      <c r="C5" s="8">
        <v>2.1164151828711137</v>
      </c>
      <c r="D5" s="8">
        <v>0.25307001359816095</v>
      </c>
      <c r="E5" s="8">
        <v>0.45623110088637703</v>
      </c>
      <c r="F5" s="8">
        <v>0.39541698047997764</v>
      </c>
      <c r="G5" s="41">
        <v>0.42545017944657582</v>
      </c>
    </row>
    <row r="6" spans="1:10" x14ac:dyDescent="0.2">
      <c r="A6" s="7" t="s">
        <v>21</v>
      </c>
      <c r="B6" s="8">
        <v>10.443135595044227</v>
      </c>
      <c r="C6" s="8">
        <v>10.679623638653595</v>
      </c>
      <c r="D6" s="8">
        <v>17.320759493864994</v>
      </c>
      <c r="E6" s="8">
        <v>17.242928555423301</v>
      </c>
      <c r="F6" s="8">
        <v>20.535318513802817</v>
      </c>
      <c r="G6" s="41">
        <v>19.19609612871308</v>
      </c>
    </row>
    <row r="7" spans="1:10" x14ac:dyDescent="0.2">
      <c r="A7" s="7" t="s">
        <v>22</v>
      </c>
      <c r="B7" s="8">
        <v>13.710875008070706</v>
      </c>
      <c r="C7" s="8">
        <v>7.9050700121008566</v>
      </c>
      <c r="D7" s="8">
        <v>33.851662394437632</v>
      </c>
      <c r="E7" s="8">
        <v>15.070718855054736</v>
      </c>
      <c r="F7" s="8">
        <v>24.178734827860403</v>
      </c>
      <c r="G7" s="41">
        <v>12.451793964912381</v>
      </c>
    </row>
    <row r="8" spans="1:10" x14ac:dyDescent="0.2">
      <c r="A8" s="7" t="s">
        <v>23</v>
      </c>
      <c r="B8" s="8">
        <v>9.622434412057995</v>
      </c>
      <c r="C8" s="8">
        <v>8.8854863803620372</v>
      </c>
      <c r="D8" s="8">
        <v>6.4914041596689316</v>
      </c>
      <c r="E8" s="8">
        <v>8.1878476377005533</v>
      </c>
      <c r="F8" s="8">
        <v>8.7630330654294291</v>
      </c>
      <c r="G8" s="41">
        <v>9.4810587236839847</v>
      </c>
    </row>
    <row r="9" spans="1:10" x14ac:dyDescent="0.2">
      <c r="A9" s="7" t="s">
        <v>24</v>
      </c>
      <c r="B9" s="8">
        <v>18.274231848084195</v>
      </c>
      <c r="C9" s="8">
        <v>22.089003037562048</v>
      </c>
      <c r="D9" s="8">
        <v>8.2924594454055214</v>
      </c>
      <c r="E9" s="8">
        <v>17.654790266979052</v>
      </c>
      <c r="F9" s="8">
        <v>11.456191863528932</v>
      </c>
      <c r="G9" s="41">
        <v>18.659642451117591</v>
      </c>
    </row>
    <row r="10" spans="1:10" x14ac:dyDescent="0.2">
      <c r="A10" s="7" t="s">
        <v>25</v>
      </c>
      <c r="B10" s="8">
        <v>28.353647600668612</v>
      </c>
      <c r="C10" s="8">
        <v>27.623292914824784</v>
      </c>
      <c r="D10" s="8">
        <v>5.847788192121909</v>
      </c>
      <c r="E10" s="8">
        <v>7.5984111629044095</v>
      </c>
      <c r="F10" s="8">
        <v>4.8779468150418674</v>
      </c>
      <c r="G10" s="41">
        <v>5.3172113538712571</v>
      </c>
    </row>
    <row r="11" spans="1:10" x14ac:dyDescent="0.2">
      <c r="A11" s="7" t="s">
        <v>26</v>
      </c>
      <c r="B11" s="8">
        <v>17.546074767025605</v>
      </c>
      <c r="C11" s="8">
        <v>20.171387647247673</v>
      </c>
      <c r="D11" s="8">
        <v>27.347155367987899</v>
      </c>
      <c r="E11" s="8">
        <v>32.555625189410392</v>
      </c>
      <c r="F11" s="8">
        <v>28.138789838760093</v>
      </c>
      <c r="G11" s="41">
        <v>31.405233206946502</v>
      </c>
    </row>
    <row r="12" spans="1:10" ht="12" thickBot="1" x14ac:dyDescent="0.25">
      <c r="A12" s="42" t="s">
        <v>27</v>
      </c>
      <c r="B12" s="43">
        <v>0.41035059149311659</v>
      </c>
      <c r="C12" s="43">
        <v>0.52972118637789245</v>
      </c>
      <c r="D12" s="43">
        <v>0.5957009329149423</v>
      </c>
      <c r="E12" s="43">
        <v>1.2334472316411849</v>
      </c>
      <c r="F12" s="43">
        <v>1.6545680950964825</v>
      </c>
      <c r="G12" s="44">
        <v>3.0635139913086249</v>
      </c>
    </row>
    <row r="14" spans="1:10" x14ac:dyDescent="0.2">
      <c r="A14" s="49" t="s">
        <v>12</v>
      </c>
      <c r="B14" s="47"/>
      <c r="C14" s="47"/>
      <c r="D14" s="47"/>
      <c r="E14" s="47"/>
      <c r="F14" s="47"/>
      <c r="G14" s="47"/>
      <c r="H14" s="47"/>
      <c r="I14" s="47"/>
      <c r="J14" s="47"/>
    </row>
    <row r="15" spans="1:10" x14ac:dyDescent="0.2">
      <c r="A15" s="49" t="s">
        <v>28</v>
      </c>
      <c r="B15" s="47"/>
      <c r="C15" s="47"/>
      <c r="D15" s="47"/>
      <c r="E15" s="47"/>
      <c r="F15" s="47"/>
      <c r="G15" s="47"/>
      <c r="H15" s="47"/>
      <c r="I15" s="47"/>
      <c r="J15" s="47"/>
    </row>
    <row r="16" spans="1:10" x14ac:dyDescent="0.2">
      <c r="A16" s="49" t="s">
        <v>13</v>
      </c>
      <c r="B16" s="47"/>
      <c r="C16" s="47"/>
      <c r="D16" s="47"/>
      <c r="E16" s="47"/>
      <c r="F16" s="47"/>
      <c r="G16" s="47"/>
      <c r="H16" s="47"/>
      <c r="I16" s="47"/>
      <c r="J16" s="4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/>
  </sheetViews>
  <sheetFormatPr baseColWidth="10" defaultColWidth="11.42578125" defaultRowHeight="11.25" x14ac:dyDescent="0.2"/>
  <cols>
    <col min="1" max="1" width="24.85546875" style="45" bestFit="1" customWidth="1"/>
    <col min="2" max="2" width="21.7109375" style="45" customWidth="1"/>
    <col min="3" max="3" width="18.7109375" style="45" customWidth="1"/>
    <col min="4" max="5" width="15.7109375" style="45" customWidth="1"/>
    <col min="6" max="6" width="19" style="45" customWidth="1"/>
    <col min="7" max="7" width="15.7109375" style="45" customWidth="1"/>
    <col min="8" max="8" width="15.5703125" style="45" customWidth="1"/>
    <col min="9" max="9" width="12.85546875" style="45" customWidth="1"/>
    <col min="10" max="10" width="15.28515625" style="45" customWidth="1"/>
    <col min="11" max="16384" width="11.42578125" style="45"/>
  </cols>
  <sheetData>
    <row r="1" spans="1:10" x14ac:dyDescent="0.2">
      <c r="A1" s="48" t="s">
        <v>29</v>
      </c>
    </row>
    <row r="2" spans="1:10" ht="12" thickBot="1" x14ac:dyDescent="0.25"/>
    <row r="3" spans="1:10" ht="33.75" x14ac:dyDescent="0.2">
      <c r="A3" s="15"/>
      <c r="B3" s="16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  <c r="H3" s="17" t="s">
        <v>36</v>
      </c>
      <c r="I3" s="18" t="s">
        <v>37</v>
      </c>
      <c r="J3" s="19" t="s">
        <v>38</v>
      </c>
    </row>
    <row r="4" spans="1:10" x14ac:dyDescent="0.2">
      <c r="A4" s="20" t="s">
        <v>39</v>
      </c>
      <c r="B4" s="21">
        <v>48.434995112117505</v>
      </c>
      <c r="C4" s="22">
        <v>40.775260578314096</v>
      </c>
      <c r="D4" s="22">
        <v>62.834325371790385</v>
      </c>
      <c r="E4" s="22">
        <v>63.922040447996295</v>
      </c>
      <c r="F4" s="22">
        <v>39.103817151777832</v>
      </c>
      <c r="G4" s="22">
        <v>71.525575084107189</v>
      </c>
      <c r="H4" s="22">
        <v>65.949401794149892</v>
      </c>
      <c r="I4" s="23">
        <v>87.26600041425624</v>
      </c>
      <c r="J4" s="24">
        <v>71.397047542763588</v>
      </c>
    </row>
    <row r="5" spans="1:10" x14ac:dyDescent="0.2">
      <c r="A5" s="20" t="s">
        <v>40</v>
      </c>
      <c r="B5" s="21">
        <v>12.504452728624893</v>
      </c>
      <c r="C5" s="22">
        <v>10.043345556122041</v>
      </c>
      <c r="D5" s="22">
        <v>7.3692100840819119</v>
      </c>
      <c r="E5" s="22">
        <v>5.9111150572303979</v>
      </c>
      <c r="F5" s="22">
        <v>11.725054856432799</v>
      </c>
      <c r="G5" s="22">
        <v>5.770765903932662</v>
      </c>
      <c r="H5" s="22">
        <v>6.4146867638884082</v>
      </c>
      <c r="I5" s="23">
        <v>1.6310688335350825</v>
      </c>
      <c r="J5" s="24">
        <v>5.1843376619867545</v>
      </c>
    </row>
    <row r="6" spans="1:10" x14ac:dyDescent="0.2">
      <c r="A6" s="20" t="s">
        <v>41</v>
      </c>
      <c r="B6" s="21">
        <v>7.7666976482045689</v>
      </c>
      <c r="C6" s="22">
        <v>6.9057950624981288</v>
      </c>
      <c r="D6" s="22">
        <v>5.0350584501597213</v>
      </c>
      <c r="E6" s="22">
        <v>5.4245244862693456</v>
      </c>
      <c r="F6" s="22">
        <v>7.4412253705532114</v>
      </c>
      <c r="G6" s="22">
        <v>4.3456048257453759</v>
      </c>
      <c r="H6" s="22">
        <v>3.7503633637140394</v>
      </c>
      <c r="I6" s="23">
        <v>0.83191582594040892</v>
      </c>
      <c r="J6" s="24">
        <v>3.3843478193234784</v>
      </c>
    </row>
    <row r="7" spans="1:10" x14ac:dyDescent="0.2">
      <c r="A7" s="20" t="s">
        <v>42</v>
      </c>
      <c r="B7" s="21">
        <v>6.7480912067264036</v>
      </c>
      <c r="C7" s="22">
        <v>8.3344520608453809</v>
      </c>
      <c r="D7" s="22">
        <v>4.2474390389179408</v>
      </c>
      <c r="E7" s="22">
        <v>4.3813120452662604</v>
      </c>
      <c r="F7" s="22">
        <v>8.6613034001890394</v>
      </c>
      <c r="G7" s="22">
        <v>2.9979164703521395</v>
      </c>
      <c r="H7" s="22">
        <v>4.2357896881225079</v>
      </c>
      <c r="I7" s="23">
        <v>0.80473519706939867</v>
      </c>
      <c r="J7" s="24">
        <v>3.2677969176682766</v>
      </c>
    </row>
    <row r="8" spans="1:10" x14ac:dyDescent="0.2">
      <c r="A8" s="20" t="s">
        <v>43</v>
      </c>
      <c r="B8" s="21">
        <v>4.709376632646066</v>
      </c>
      <c r="C8" s="22">
        <v>5.8294125993509116</v>
      </c>
      <c r="D8" s="22">
        <v>4.0317360431853748</v>
      </c>
      <c r="E8" s="22">
        <v>4.1494799884019731</v>
      </c>
      <c r="F8" s="22">
        <v>6.3580274890297428</v>
      </c>
      <c r="G8" s="22">
        <v>2.5990656960479335</v>
      </c>
      <c r="H8" s="22">
        <v>3.8933690523070692</v>
      </c>
      <c r="I8" s="23">
        <v>1.4315513583541619</v>
      </c>
      <c r="J8" s="24">
        <v>3.0785151721372395</v>
      </c>
    </row>
    <row r="9" spans="1:10" x14ac:dyDescent="0.2">
      <c r="A9" s="20" t="s">
        <v>44</v>
      </c>
      <c r="B9" s="21">
        <v>5.1104318098233099</v>
      </c>
      <c r="C9" s="22">
        <v>0.74772077563409201</v>
      </c>
      <c r="D9" s="22">
        <v>2.813519258938797</v>
      </c>
      <c r="E9" s="22">
        <v>3.2008346260584699</v>
      </c>
      <c r="F9" s="22">
        <v>4.9185930257682138</v>
      </c>
      <c r="G9" s="22">
        <v>2.2826307779766126</v>
      </c>
      <c r="H9" s="22">
        <v>3.4223389414356693</v>
      </c>
      <c r="I9" s="23">
        <v>1.2648179074745221</v>
      </c>
      <c r="J9" s="24">
        <v>2.55701046378835</v>
      </c>
    </row>
    <row r="10" spans="1:10" x14ac:dyDescent="0.2">
      <c r="A10" s="20" t="s">
        <v>45</v>
      </c>
      <c r="B10" s="21">
        <v>1.9275971746500553</v>
      </c>
      <c r="C10" s="22">
        <v>3.3994655869252797</v>
      </c>
      <c r="D10" s="22">
        <v>2.8909262253722829</v>
      </c>
      <c r="E10" s="22">
        <v>3.5716987109970342</v>
      </c>
      <c r="F10" s="22">
        <v>5.2022507671152605</v>
      </c>
      <c r="G10" s="22">
        <v>3.3034626462445065</v>
      </c>
      <c r="H10" s="22">
        <v>2.9989338275378885</v>
      </c>
      <c r="I10" s="23">
        <v>0.86860631500584462</v>
      </c>
      <c r="J10" s="24">
        <v>2.5437775853237059</v>
      </c>
    </row>
    <row r="11" spans="1:10" x14ac:dyDescent="0.2">
      <c r="A11" s="20" t="s">
        <v>46</v>
      </c>
      <c r="B11" s="21">
        <v>2.04032825169039</v>
      </c>
      <c r="C11" s="22">
        <v>2.4244986723688409</v>
      </c>
      <c r="D11" s="22">
        <v>1.9324890773498873</v>
      </c>
      <c r="E11" s="22">
        <v>1.4554386182718564</v>
      </c>
      <c r="F11" s="22">
        <v>4.0380030901487043</v>
      </c>
      <c r="G11" s="22">
        <v>1.1197775312492868</v>
      </c>
      <c r="H11" s="22">
        <v>1.9275927713595873</v>
      </c>
      <c r="I11" s="23">
        <v>3.2782674993315286</v>
      </c>
      <c r="J11" s="24">
        <v>2.3927860692959739</v>
      </c>
    </row>
    <row r="12" spans="1:10" x14ac:dyDescent="0.2">
      <c r="A12" s="20" t="s">
        <v>47</v>
      </c>
      <c r="B12" s="21">
        <v>2.446076734843861</v>
      </c>
      <c r="C12" s="22">
        <v>5.2388079821496891</v>
      </c>
      <c r="D12" s="22">
        <v>2.7851822447919155</v>
      </c>
      <c r="E12" s="22">
        <v>2.1320848171248592</v>
      </c>
      <c r="F12" s="22">
        <v>4.4716995551838936</v>
      </c>
      <c r="G12" s="22">
        <v>2.0292130044339953</v>
      </c>
      <c r="H12" s="22">
        <v>1.8714208301567035</v>
      </c>
      <c r="I12" s="23">
        <v>0.4070620769631742</v>
      </c>
      <c r="J12" s="24">
        <v>1.7105383339867595</v>
      </c>
    </row>
    <row r="13" spans="1:10" x14ac:dyDescent="0.2">
      <c r="A13" s="20" t="s">
        <v>48</v>
      </c>
      <c r="B13" s="21">
        <v>2.2213591717608159</v>
      </c>
      <c r="C13" s="22">
        <v>4.894279554201785</v>
      </c>
      <c r="D13" s="22">
        <v>1.6274786993694499</v>
      </c>
      <c r="E13" s="22">
        <v>1.9916353313685815</v>
      </c>
      <c r="F13" s="22">
        <v>2.6578402255141231</v>
      </c>
      <c r="G13" s="22">
        <v>1.1376521992064321</v>
      </c>
      <c r="H13" s="22">
        <v>1.4494748336702821</v>
      </c>
      <c r="I13" s="23">
        <v>0.28279691420019348</v>
      </c>
      <c r="J13" s="24">
        <v>1.168805384445085</v>
      </c>
    </row>
    <row r="14" spans="1:10" x14ac:dyDescent="0.2">
      <c r="A14" s="20" t="s">
        <v>49</v>
      </c>
      <c r="B14" s="21">
        <v>1.7485974988211483</v>
      </c>
      <c r="C14" s="22">
        <v>1.9609646299988741</v>
      </c>
      <c r="D14" s="22">
        <v>0.99097857601917394</v>
      </c>
      <c r="E14" s="22">
        <v>0.53429501891311604</v>
      </c>
      <c r="F14" s="22">
        <v>1.2792836028781065</v>
      </c>
      <c r="G14" s="22">
        <v>0.84512707077231297</v>
      </c>
      <c r="H14" s="22">
        <v>1.102199101805853</v>
      </c>
      <c r="I14" s="23">
        <v>1.3051200441934607</v>
      </c>
      <c r="J14" s="24">
        <v>1.1044316711049433</v>
      </c>
    </row>
    <row r="15" spans="1:10" x14ac:dyDescent="0.2">
      <c r="A15" s="20" t="s">
        <v>50</v>
      </c>
      <c r="B15" s="21">
        <v>2.5826347238081762</v>
      </c>
      <c r="C15" s="22">
        <v>3.8435293420695391</v>
      </c>
      <c r="D15" s="22">
        <v>1.6378643218286273</v>
      </c>
      <c r="E15" s="22">
        <v>1.3527269287431185</v>
      </c>
      <c r="F15" s="22">
        <v>1.7286432815532979</v>
      </c>
      <c r="G15" s="22">
        <v>0.83962154193573424</v>
      </c>
      <c r="H15" s="22">
        <v>1.5282856402354859</v>
      </c>
      <c r="I15" s="23">
        <v>0.26865647844627166</v>
      </c>
      <c r="J15" s="24">
        <v>1.0106848263327319</v>
      </c>
    </row>
    <row r="16" spans="1:10" x14ac:dyDescent="0.2">
      <c r="A16" s="20" t="s">
        <v>51</v>
      </c>
      <c r="B16" s="21">
        <v>1.628307333972931</v>
      </c>
      <c r="C16" s="22">
        <v>5.5773667704348124</v>
      </c>
      <c r="D16" s="22">
        <v>1.5331049491956101</v>
      </c>
      <c r="E16" s="22">
        <v>1.8470434080927995</v>
      </c>
      <c r="F16" s="22">
        <v>1.7904789992628143</v>
      </c>
      <c r="G16" s="22">
        <v>1.0922335858766503</v>
      </c>
      <c r="H16" s="22">
        <v>1.0872161102929463</v>
      </c>
      <c r="I16" s="23">
        <v>0.30739315073588908</v>
      </c>
      <c r="J16" s="24">
        <v>0.98593523418242568</v>
      </c>
    </row>
    <row r="17" spans="1:10" x14ac:dyDescent="0.2">
      <c r="A17" s="25" t="s">
        <v>52</v>
      </c>
      <c r="B17" s="26">
        <v>0.13105397230987598</v>
      </c>
      <c r="C17" s="27">
        <v>2.5100829086534042E-2</v>
      </c>
      <c r="D17" s="27">
        <v>0.27068765899892588</v>
      </c>
      <c r="E17" s="27">
        <v>0.12577051526587596</v>
      </c>
      <c r="F17" s="27">
        <v>0.62377918459297843</v>
      </c>
      <c r="G17" s="27">
        <v>0.11135366211915139</v>
      </c>
      <c r="H17" s="27">
        <v>0.36892728132365754</v>
      </c>
      <c r="I17" s="28">
        <v>5.2007984493813421E-2</v>
      </c>
      <c r="J17" s="29">
        <v>0.21398531766065476</v>
      </c>
    </row>
    <row r="18" spans="1:10" ht="12" thickBot="1" x14ac:dyDescent="0.25">
      <c r="A18" s="30" t="s">
        <v>3</v>
      </c>
      <c r="B18" s="31">
        <v>100</v>
      </c>
      <c r="C18" s="32">
        <v>100</v>
      </c>
      <c r="D18" s="32">
        <v>100</v>
      </c>
      <c r="E18" s="32">
        <v>100</v>
      </c>
      <c r="F18" s="32">
        <v>100</v>
      </c>
      <c r="G18" s="32">
        <v>100</v>
      </c>
      <c r="H18" s="32">
        <v>100</v>
      </c>
      <c r="I18" s="33">
        <v>100.00000000000001</v>
      </c>
      <c r="J18" s="34">
        <v>100</v>
      </c>
    </row>
    <row r="20" spans="1:10" x14ac:dyDescent="0.2">
      <c r="A20" s="49" t="s">
        <v>12</v>
      </c>
    </row>
    <row r="21" spans="1:10" x14ac:dyDescent="0.2">
      <c r="A21" s="50" t="s">
        <v>53</v>
      </c>
    </row>
    <row r="22" spans="1:10" x14ac:dyDescent="0.2">
      <c r="A22" s="50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="120" zoomScaleNormal="120" workbookViewId="0">
      <selection activeCell="A4" sqref="A4:A21"/>
    </sheetView>
  </sheetViews>
  <sheetFormatPr baseColWidth="10" defaultColWidth="11.42578125" defaultRowHeight="11.25" x14ac:dyDescent="0.2"/>
  <cols>
    <col min="1" max="1" width="30.7109375" style="48" bestFit="1" customWidth="1"/>
    <col min="2" max="2" width="11" style="48" bestFit="1" customWidth="1"/>
    <col min="3" max="3" width="8" style="48" bestFit="1" customWidth="1"/>
    <col min="4" max="4" width="11.42578125" style="48" bestFit="1" customWidth="1"/>
    <col min="5" max="5" width="14" style="48" customWidth="1"/>
    <col min="6" max="6" width="6.7109375" style="48" bestFit="1" customWidth="1"/>
    <col min="7" max="7" width="14" style="48" customWidth="1"/>
    <col min="8" max="8" width="7.7109375" style="48" bestFit="1" customWidth="1"/>
    <col min="9" max="9" width="10.7109375" style="48" bestFit="1" customWidth="1"/>
    <col min="10" max="16384" width="11.42578125" style="48"/>
  </cols>
  <sheetData>
    <row r="1" spans="1:9" x14ac:dyDescent="0.2">
      <c r="A1" s="48" t="s">
        <v>128</v>
      </c>
    </row>
    <row r="3" spans="1:9" ht="56.25" x14ac:dyDescent="0.2">
      <c r="A3" s="90"/>
      <c r="B3" s="96" t="s">
        <v>147</v>
      </c>
      <c r="C3" s="96" t="s">
        <v>148</v>
      </c>
      <c r="D3" s="96" t="s">
        <v>142</v>
      </c>
      <c r="E3" s="96" t="s">
        <v>143</v>
      </c>
      <c r="F3" s="96" t="s">
        <v>144</v>
      </c>
      <c r="G3" s="96" t="s">
        <v>149</v>
      </c>
      <c r="H3" s="96" t="s">
        <v>145</v>
      </c>
      <c r="I3" s="96" t="s">
        <v>146</v>
      </c>
    </row>
    <row r="4" spans="1:9" x14ac:dyDescent="0.2">
      <c r="A4" s="92" t="s">
        <v>78</v>
      </c>
      <c r="B4" s="8">
        <v>8037.0590000000002</v>
      </c>
      <c r="C4" s="97">
        <v>0.11962287798951927</v>
      </c>
      <c r="D4" s="88">
        <v>115.29111617965602</v>
      </c>
      <c r="E4" s="88">
        <v>69711</v>
      </c>
      <c r="F4" s="98">
        <v>0.10956318377777743</v>
      </c>
      <c r="G4" s="88">
        <v>251697</v>
      </c>
      <c r="H4" s="98">
        <v>0.11399132805457292</v>
      </c>
      <c r="I4" s="88">
        <v>31838</v>
      </c>
    </row>
    <row r="5" spans="1:9" x14ac:dyDescent="0.2">
      <c r="A5" s="92" t="s">
        <v>130</v>
      </c>
      <c r="B5" s="8">
        <v>2813.2890000000002</v>
      </c>
      <c r="C5" s="97">
        <v>4.1872745589681092E-2</v>
      </c>
      <c r="D5" s="88">
        <v>58.875125565042694</v>
      </c>
      <c r="E5" s="88">
        <v>47784</v>
      </c>
      <c r="F5" s="98">
        <v>7.5101019546948353E-2</v>
      </c>
      <c r="G5" s="88">
        <v>73942</v>
      </c>
      <c r="H5" s="98">
        <v>3.3698811686435431E-2</v>
      </c>
      <c r="I5" s="88">
        <v>26211.830099186795</v>
      </c>
    </row>
    <row r="6" spans="1:9" x14ac:dyDescent="0.2">
      <c r="A6" s="92" t="s">
        <v>46</v>
      </c>
      <c r="B6" s="8">
        <v>3336.643</v>
      </c>
      <c r="C6" s="97">
        <v>4.9662300411578861E-2</v>
      </c>
      <c r="D6" s="88">
        <v>122.63462952072919</v>
      </c>
      <c r="E6" s="88">
        <v>27208</v>
      </c>
      <c r="F6" s="98">
        <v>4.2762191106507842E-2</v>
      </c>
      <c r="G6" s="88">
        <v>91910</v>
      </c>
      <c r="H6" s="98">
        <v>4.1887665766415311E-2</v>
      </c>
      <c r="I6" s="88">
        <v>27903.517160769312</v>
      </c>
    </row>
    <row r="7" spans="1:9" x14ac:dyDescent="0.2">
      <c r="A7" s="92" t="s">
        <v>131</v>
      </c>
      <c r="B7" s="8">
        <v>2582.5219999999999</v>
      </c>
      <c r="C7" s="97">
        <v>3.843802989517052E-2</v>
      </c>
      <c r="D7" s="88">
        <v>65.963117161758319</v>
      </c>
      <c r="E7" s="88">
        <v>39151</v>
      </c>
      <c r="F7" s="98">
        <v>6.1532730961882116E-2</v>
      </c>
      <c r="G7" s="88">
        <v>70355</v>
      </c>
      <c r="H7" s="98">
        <v>3.2064048797695019E-2</v>
      </c>
      <c r="I7" s="88">
        <v>27284.269865104678</v>
      </c>
    </row>
    <row r="8" spans="1:9" x14ac:dyDescent="0.2">
      <c r="A8" s="92" t="s">
        <v>52</v>
      </c>
      <c r="B8" s="8">
        <v>337.79599999999999</v>
      </c>
      <c r="C8" s="97">
        <v>5.0277258999028938E-3</v>
      </c>
      <c r="D8" s="88">
        <v>38.916589861751149</v>
      </c>
      <c r="E8" s="88">
        <v>8680</v>
      </c>
      <c r="F8" s="98">
        <v>1.3642157409750371E-2</v>
      </c>
      <c r="G8" s="88">
        <v>8868</v>
      </c>
      <c r="H8" s="98">
        <v>4.0415604397407347E-3</v>
      </c>
      <c r="I8" s="88">
        <v>27095.816159103895</v>
      </c>
    </row>
    <row r="9" spans="1:9" x14ac:dyDescent="0.2">
      <c r="A9" s="92" t="s">
        <v>44</v>
      </c>
      <c r="B9" s="8">
        <v>5548.09</v>
      </c>
      <c r="C9" s="97">
        <v>8.2577282703147015E-2</v>
      </c>
      <c r="D9" s="88">
        <v>96.601083001062108</v>
      </c>
      <c r="E9" s="88">
        <v>57433</v>
      </c>
      <c r="F9" s="98">
        <v>9.0266132086888592E-2</v>
      </c>
      <c r="G9" s="88">
        <v>152170</v>
      </c>
      <c r="H9" s="98">
        <v>6.935095310276812E-2</v>
      </c>
      <c r="I9" s="88">
        <v>27373.377218521651</v>
      </c>
    </row>
    <row r="10" spans="1:9" x14ac:dyDescent="0.2">
      <c r="A10" s="93" t="s">
        <v>132</v>
      </c>
      <c r="B10" s="8">
        <v>390.70400000000001</v>
      </c>
      <c r="C10" s="97">
        <v>5.8152039100393734E-3</v>
      </c>
      <c r="D10" s="88">
        <v>217.05777777777777</v>
      </c>
      <c r="E10" s="88">
        <v>1800</v>
      </c>
      <c r="F10" s="98">
        <v>2.829018817690169E-3</v>
      </c>
      <c r="G10" s="88">
        <v>8417</v>
      </c>
      <c r="H10" s="98">
        <v>3.8360187439442678E-3</v>
      </c>
      <c r="I10" s="88">
        <v>21148.772582225683</v>
      </c>
    </row>
    <row r="11" spans="1:9" x14ac:dyDescent="0.2">
      <c r="A11" s="93" t="s">
        <v>133</v>
      </c>
      <c r="B11" s="8">
        <v>281.61200000000002</v>
      </c>
      <c r="C11" s="97">
        <v>4.1914881944234211E-3</v>
      </c>
      <c r="D11" s="88">
        <v>3.255479515398132</v>
      </c>
      <c r="E11" s="88">
        <v>86504</v>
      </c>
      <c r="F11" s="98">
        <v>0.13595635766970576</v>
      </c>
      <c r="G11" s="88">
        <v>4175</v>
      </c>
      <c r="H11" s="98">
        <v>1.9027418624174073E-3</v>
      </c>
      <c r="I11" s="88">
        <v>16066.034287033652</v>
      </c>
    </row>
    <row r="12" spans="1:9" x14ac:dyDescent="0.2">
      <c r="A12" s="92" t="s">
        <v>45</v>
      </c>
      <c r="B12" s="8">
        <v>6023.3360000000002</v>
      </c>
      <c r="C12" s="97">
        <v>8.9650802291967632E-2</v>
      </c>
      <c r="D12" s="88">
        <v>189.33568038223368</v>
      </c>
      <c r="E12" s="88">
        <v>31813</v>
      </c>
      <c r="F12" s="98">
        <v>4.9999764248431861E-2</v>
      </c>
      <c r="G12" s="88">
        <v>156922</v>
      </c>
      <c r="H12" s="98">
        <v>7.1516660726769918E-2</v>
      </c>
      <c r="I12" s="88">
        <v>26110.254017653315</v>
      </c>
    </row>
    <row r="13" spans="1:9" x14ac:dyDescent="0.2">
      <c r="A13" s="92" t="s">
        <v>39</v>
      </c>
      <c r="B13" s="8">
        <v>12246.234</v>
      </c>
      <c r="C13" s="97">
        <v>0.18227186780800075</v>
      </c>
      <c r="D13" s="88">
        <v>1019.5848805261843</v>
      </c>
      <c r="E13" s="88">
        <v>12011</v>
      </c>
      <c r="F13" s="98">
        <v>1.8877413899598121E-2</v>
      </c>
      <c r="G13" s="88">
        <v>668823</v>
      </c>
      <c r="H13" s="98">
        <v>0.30481377740062221</v>
      </c>
      <c r="I13" s="88">
        <v>55356.317554235407</v>
      </c>
    </row>
    <row r="14" spans="1:9" x14ac:dyDescent="0.2">
      <c r="A14" s="93" t="s">
        <v>134</v>
      </c>
      <c r="B14" s="8">
        <v>865.82600000000002</v>
      </c>
      <c r="C14" s="97">
        <v>1.2886877893785963E-2</v>
      </c>
      <c r="D14" s="88">
        <v>344.67595541401272</v>
      </c>
      <c r="E14" s="88">
        <v>2512</v>
      </c>
      <c r="F14" s="98">
        <v>3.9480529277987246E-3</v>
      </c>
      <c r="G14" s="88">
        <v>17997</v>
      </c>
      <c r="H14" s="98">
        <v>8.2020707300421748E-3</v>
      </c>
      <c r="I14" s="88">
        <v>21154.847559792976</v>
      </c>
    </row>
    <row r="15" spans="1:9" x14ac:dyDescent="0.2">
      <c r="A15" s="93" t="s">
        <v>135</v>
      </c>
      <c r="B15" s="8">
        <v>371.24599999999998</v>
      </c>
      <c r="C15" s="97">
        <v>5.5255927525351091E-3</v>
      </c>
      <c r="D15" s="88">
        <v>329.11879432624113</v>
      </c>
      <c r="E15" s="88">
        <v>1128</v>
      </c>
      <c r="F15" s="98">
        <v>1.7728517924191726E-3</v>
      </c>
      <c r="G15" s="88">
        <v>9069</v>
      </c>
      <c r="H15" s="98">
        <v>4.1331654970690936E-3</v>
      </c>
      <c r="I15" s="88">
        <v>23810.836569286148</v>
      </c>
    </row>
    <row r="16" spans="1:9" x14ac:dyDescent="0.2">
      <c r="A16" s="93" t="s">
        <v>136</v>
      </c>
      <c r="B16" s="8">
        <v>259.154</v>
      </c>
      <c r="C16" s="97">
        <v>3.8572253012570741E-3</v>
      </c>
      <c r="D16" s="88">
        <v>689.23936170212767</v>
      </c>
      <c r="E16" s="88">
        <v>376</v>
      </c>
      <c r="F16" s="98">
        <v>5.9095059747305749E-4</v>
      </c>
      <c r="G16" s="88">
        <v>2035</v>
      </c>
      <c r="H16" s="98">
        <v>9.2744423713040096E-4</v>
      </c>
      <c r="I16" s="88">
        <v>7933</v>
      </c>
    </row>
    <row r="17" spans="1:9" x14ac:dyDescent="0.2">
      <c r="A17" s="92" t="s">
        <v>48</v>
      </c>
      <c r="B17" s="8">
        <v>3342.4670000000001</v>
      </c>
      <c r="C17" s="97">
        <v>4.9748984314410848E-2</v>
      </c>
      <c r="D17" s="88">
        <v>111.84430316212146</v>
      </c>
      <c r="E17" s="88">
        <v>29885</v>
      </c>
      <c r="F17" s="98">
        <v>4.6969570759261503E-2</v>
      </c>
      <c r="G17" s="88">
        <v>91740</v>
      </c>
      <c r="H17" s="98">
        <v>4.1810188852256992E-2</v>
      </c>
      <c r="I17" s="88">
        <v>27474.214099416884</v>
      </c>
    </row>
    <row r="18" spans="1:9" x14ac:dyDescent="0.2">
      <c r="A18" s="92" t="s">
        <v>137</v>
      </c>
      <c r="B18" s="8">
        <v>5994.3360000000002</v>
      </c>
      <c r="C18" s="97">
        <v>8.9219168847234173E-2</v>
      </c>
      <c r="D18" s="88">
        <v>71.309358680006184</v>
      </c>
      <c r="E18" s="88">
        <v>84061</v>
      </c>
      <c r="F18" s="98">
        <v>0.13211675046325183</v>
      </c>
      <c r="G18" s="88">
        <v>163898</v>
      </c>
      <c r="H18" s="98">
        <v>7.469594868658401E-2</v>
      </c>
      <c r="I18" s="88">
        <v>27725.365652809229</v>
      </c>
    </row>
    <row r="19" spans="1:9" x14ac:dyDescent="0.2">
      <c r="A19" s="92" t="s">
        <v>42</v>
      </c>
      <c r="B19" s="8">
        <v>5903.19</v>
      </c>
      <c r="C19" s="97">
        <v>8.786255981434879E-2</v>
      </c>
      <c r="D19" s="88">
        <v>81.172515263186838</v>
      </c>
      <c r="E19" s="88">
        <v>72724</v>
      </c>
      <c r="F19" s="98">
        <v>0.11429864694316659</v>
      </c>
      <c r="G19" s="88">
        <v>159115</v>
      </c>
      <c r="H19" s="98">
        <v>7.2516112919412165E-2</v>
      </c>
      <c r="I19" s="88">
        <v>27556.269845874354</v>
      </c>
    </row>
    <row r="20" spans="1:9" x14ac:dyDescent="0.2">
      <c r="A20" s="92" t="s">
        <v>47</v>
      </c>
      <c r="B20" s="8">
        <v>3787.4110000000001</v>
      </c>
      <c r="C20" s="97">
        <v>5.6371491605220668E-2</v>
      </c>
      <c r="D20" s="88">
        <v>118.05408016956549</v>
      </c>
      <c r="E20" s="88">
        <v>32082</v>
      </c>
      <c r="F20" s="98">
        <v>5.0422545393964444E-2</v>
      </c>
      <c r="G20" s="88">
        <v>109767</v>
      </c>
      <c r="H20" s="98">
        <v>5.002593197891534E-2</v>
      </c>
      <c r="I20" s="88">
        <v>29519.065690792446</v>
      </c>
    </row>
    <row r="21" spans="1:9" x14ac:dyDescent="0.2">
      <c r="A21" s="92" t="s">
        <v>138</v>
      </c>
      <c r="B21" s="8">
        <v>5065.723</v>
      </c>
      <c r="C21" s="97">
        <v>7.5397774777776497E-2</v>
      </c>
      <c r="D21" s="88">
        <v>161.32875796178345</v>
      </c>
      <c r="E21" s="88">
        <v>31400</v>
      </c>
      <c r="F21" s="98">
        <v>4.9350661597484059E-2</v>
      </c>
      <c r="G21" s="88">
        <v>154879</v>
      </c>
      <c r="H21" s="98">
        <v>7.058557051720854E-2</v>
      </c>
      <c r="I21" s="88">
        <v>30926.459925834322</v>
      </c>
    </row>
    <row r="22" spans="1:9" x14ac:dyDescent="0.2">
      <c r="A22" s="94" t="s">
        <v>3</v>
      </c>
      <c r="B22" s="91">
        <v>67186.638000000006</v>
      </c>
      <c r="C22" s="99">
        <v>1</v>
      </c>
      <c r="D22" s="88">
        <v>105.59570177740966</v>
      </c>
      <c r="E22" s="91">
        <v>636263</v>
      </c>
      <c r="F22" s="100">
        <v>1</v>
      </c>
      <c r="G22" s="91">
        <v>2194200</v>
      </c>
      <c r="H22" s="100">
        <v>1</v>
      </c>
      <c r="I22" s="91">
        <v>33022</v>
      </c>
    </row>
    <row r="23" spans="1:9" x14ac:dyDescent="0.2">
      <c r="A23" s="95" t="s">
        <v>139</v>
      </c>
      <c r="B23" s="90"/>
      <c r="C23" s="90"/>
      <c r="D23" s="90"/>
      <c r="E23" s="90"/>
      <c r="F23" s="90"/>
      <c r="G23" s="90"/>
      <c r="H23" s="90"/>
      <c r="I23" s="90"/>
    </row>
    <row r="24" spans="1:9" x14ac:dyDescent="0.2">
      <c r="A24" s="95" t="s">
        <v>140</v>
      </c>
      <c r="B24" s="90"/>
      <c r="C24" s="90"/>
      <c r="D24" s="90"/>
      <c r="E24" s="90"/>
      <c r="F24" s="90"/>
      <c r="G24" s="90"/>
      <c r="H24" s="90"/>
      <c r="I24" s="90"/>
    </row>
    <row r="25" spans="1:9" x14ac:dyDescent="0.2">
      <c r="A25" s="95" t="s">
        <v>141</v>
      </c>
      <c r="B25" s="90"/>
      <c r="C25" s="90"/>
      <c r="D25" s="90"/>
      <c r="E25" s="90"/>
      <c r="F25" s="90"/>
      <c r="G25" s="90"/>
      <c r="H25" s="90"/>
      <c r="I25" s="9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workbookViewId="0">
      <selection activeCell="C6" sqref="C6"/>
    </sheetView>
  </sheetViews>
  <sheetFormatPr baseColWidth="10" defaultColWidth="11.42578125" defaultRowHeight="11.25" x14ac:dyDescent="0.2"/>
  <cols>
    <col min="1" max="4" width="11.42578125" style="45"/>
    <col min="5" max="5" width="17.5703125" style="45" bestFit="1" customWidth="1"/>
    <col min="6" max="6" width="19.85546875" style="45" bestFit="1" customWidth="1"/>
    <col min="7" max="7" width="11.42578125" style="45"/>
    <col min="8" max="8" width="14.7109375" style="45" bestFit="1" customWidth="1"/>
    <col min="9" max="11" width="11.42578125" style="45"/>
    <col min="12" max="12" width="9.7109375" style="45" customWidth="1"/>
    <col min="13" max="13" width="12.7109375" style="45" bestFit="1" customWidth="1"/>
    <col min="14" max="14" width="10.140625" style="45" bestFit="1" customWidth="1"/>
    <col min="15" max="15" width="8.7109375" style="45" bestFit="1" customWidth="1"/>
    <col min="16" max="16" width="8.42578125" style="45" bestFit="1" customWidth="1"/>
    <col min="17" max="17" width="6.42578125" style="45" bestFit="1" customWidth="1"/>
    <col min="18" max="18" width="8.28515625" style="45" bestFit="1" customWidth="1"/>
    <col min="19" max="19" width="13.7109375" style="45" bestFit="1" customWidth="1"/>
    <col min="20" max="20" width="7.42578125" style="45" bestFit="1" customWidth="1"/>
    <col min="21" max="21" width="12" style="45" bestFit="1" customWidth="1"/>
    <col min="22" max="22" width="21" style="45" bestFit="1" customWidth="1"/>
    <col min="23" max="16384" width="11.42578125" style="45"/>
  </cols>
  <sheetData>
    <row r="1" spans="1:22" x14ac:dyDescent="0.2">
      <c r="A1" s="110" t="s">
        <v>112</v>
      </c>
    </row>
    <row r="2" spans="1:22" x14ac:dyDescent="0.2">
      <c r="A2" s="110"/>
    </row>
    <row r="3" spans="1:22" x14ac:dyDescent="0.2">
      <c r="D3" s="112"/>
      <c r="E3" s="112" t="s">
        <v>174</v>
      </c>
    </row>
    <row r="4" spans="1:22" x14ac:dyDescent="0.2">
      <c r="B4" s="119"/>
      <c r="C4" s="112" t="s">
        <v>174</v>
      </c>
      <c r="E4" s="45" t="s">
        <v>78</v>
      </c>
      <c r="F4" s="45" t="s">
        <v>130</v>
      </c>
      <c r="G4" s="45" t="s">
        <v>46</v>
      </c>
      <c r="H4" s="45" t="s">
        <v>131</v>
      </c>
      <c r="I4" s="45" t="s">
        <v>52</v>
      </c>
      <c r="J4" s="45" t="s">
        <v>44</v>
      </c>
      <c r="K4" s="45" t="s">
        <v>132</v>
      </c>
      <c r="L4" s="115" t="s">
        <v>133</v>
      </c>
      <c r="M4" s="45" t="s">
        <v>45</v>
      </c>
      <c r="N4" s="45" t="s">
        <v>39</v>
      </c>
      <c r="O4" s="45" t="s">
        <v>134</v>
      </c>
      <c r="P4" s="115" t="s">
        <v>135</v>
      </c>
      <c r="Q4" s="45" t="s">
        <v>136</v>
      </c>
      <c r="R4" s="45" t="s">
        <v>48</v>
      </c>
      <c r="S4" s="45" t="s">
        <v>137</v>
      </c>
      <c r="T4" s="45" t="s">
        <v>42</v>
      </c>
      <c r="U4" s="45" t="s">
        <v>47</v>
      </c>
      <c r="V4" s="45" t="s">
        <v>138</v>
      </c>
    </row>
    <row r="5" spans="1:22" x14ac:dyDescent="0.2">
      <c r="A5" s="45" t="s">
        <v>104</v>
      </c>
      <c r="B5" s="87">
        <f>C5/C$10</f>
        <v>0.29158593885945483</v>
      </c>
      <c r="C5" s="22">
        <v>3639777.0498200003</v>
      </c>
      <c r="D5" s="22"/>
      <c r="E5" s="117">
        <v>183547.94245999999</v>
      </c>
      <c r="F5" s="117">
        <v>64185.428609999995</v>
      </c>
      <c r="G5" s="117">
        <v>62394.048689999996</v>
      </c>
      <c r="H5" s="117">
        <v>56063.625789999991</v>
      </c>
      <c r="I5" s="88">
        <v>5798</v>
      </c>
      <c r="J5" s="117">
        <v>139064.98127999998</v>
      </c>
      <c r="K5" s="117">
        <v>6505.4281300000002</v>
      </c>
      <c r="L5" s="117">
        <v>7050.4047699999983</v>
      </c>
      <c r="M5" s="117">
        <v>105950.34036000002</v>
      </c>
      <c r="N5" s="117">
        <v>2450583.6852800008</v>
      </c>
      <c r="O5" s="117">
        <v>10352.069720000003</v>
      </c>
      <c r="P5" s="117">
        <v>7169.6517299999969</v>
      </c>
      <c r="Q5" s="117">
        <v>968.45650000000001</v>
      </c>
      <c r="R5" s="117">
        <v>64654.379929999996</v>
      </c>
      <c r="S5" s="117">
        <v>145378.60039999991</v>
      </c>
      <c r="T5" s="117">
        <v>125267.58050000003</v>
      </c>
      <c r="U5" s="117">
        <v>64665.685129999998</v>
      </c>
      <c r="V5" s="117">
        <v>140177.20147000003</v>
      </c>
    </row>
    <row r="6" spans="1:22" x14ac:dyDescent="0.2">
      <c r="A6" s="45" t="s">
        <v>105</v>
      </c>
      <c r="B6" s="87">
        <f>C6/C$10</f>
        <v>5.6195829401910313E-2</v>
      </c>
      <c r="C6" s="8">
        <v>701475.14983999997</v>
      </c>
      <c r="D6" s="8"/>
      <c r="E6" s="117">
        <v>52058.38</v>
      </c>
      <c r="F6" s="117">
        <v>21017.47</v>
      </c>
      <c r="G6" s="117">
        <v>35412.78</v>
      </c>
      <c r="H6" s="117">
        <v>28964.62</v>
      </c>
      <c r="I6" s="88">
        <v>21715</v>
      </c>
      <c r="J6" s="117">
        <v>54891.23</v>
      </c>
      <c r="K6" s="117">
        <v>10865.66</v>
      </c>
      <c r="L6" s="117">
        <v>15235.08966</v>
      </c>
      <c r="M6" s="117">
        <v>75970.87</v>
      </c>
      <c r="N6" s="117">
        <v>75009</v>
      </c>
      <c r="O6" s="117">
        <v>27981.55</v>
      </c>
      <c r="P6" s="117">
        <v>17364.54018</v>
      </c>
      <c r="Q6" s="117">
        <v>0</v>
      </c>
      <c r="R6" s="117">
        <v>44486.32</v>
      </c>
      <c r="S6" s="117">
        <v>71770.95</v>
      </c>
      <c r="T6" s="117">
        <v>62264.71</v>
      </c>
      <c r="U6" s="117">
        <v>32679.19</v>
      </c>
      <c r="V6" s="117">
        <v>53787.79</v>
      </c>
    </row>
    <row r="7" spans="1:22" x14ac:dyDescent="0.2">
      <c r="A7" s="45" t="s">
        <v>106</v>
      </c>
      <c r="B7" s="87">
        <f>C7/C$10</f>
        <v>0.10195449306097436</v>
      </c>
      <c r="C7" s="88">
        <v>1272666.3892672618</v>
      </c>
      <c r="D7" s="88"/>
      <c r="E7" s="117">
        <v>188783.45282742553</v>
      </c>
      <c r="F7" s="117">
        <v>49090.923698914077</v>
      </c>
      <c r="G7" s="117">
        <v>61987.346247422036</v>
      </c>
      <c r="H7" s="117">
        <v>46581.383151880334</v>
      </c>
      <c r="I7" s="88">
        <v>7325</v>
      </c>
      <c r="J7" s="117">
        <v>84154.247160927611</v>
      </c>
      <c r="K7" s="117">
        <v>13032.5192135203</v>
      </c>
      <c r="L7" s="117">
        <v>0</v>
      </c>
      <c r="M7" s="117">
        <v>104625.65153693456</v>
      </c>
      <c r="N7" s="117">
        <v>230851.95388665725</v>
      </c>
      <c r="O7" s="117">
        <v>12934.343868977676</v>
      </c>
      <c r="P7" s="117">
        <v>0</v>
      </c>
      <c r="Q7" s="117">
        <v>4535.91</v>
      </c>
      <c r="R7" s="117">
        <v>57490.082217243049</v>
      </c>
      <c r="S7" s="117">
        <v>118243.92875429883</v>
      </c>
      <c r="T7" s="117">
        <v>113617.35613641082</v>
      </c>
      <c r="U7" s="117">
        <v>79294.227844035719</v>
      </c>
      <c r="V7" s="117">
        <v>100118.06272261404</v>
      </c>
    </row>
    <row r="8" spans="1:22" x14ac:dyDescent="0.2">
      <c r="A8" s="45" t="s">
        <v>107</v>
      </c>
      <c r="B8" s="87">
        <f>C8/C$10</f>
        <v>0.13529502064151858</v>
      </c>
      <c r="C8" s="88">
        <v>1688845.87855</v>
      </c>
      <c r="D8" s="88"/>
      <c r="E8" s="117">
        <v>159185.13</v>
      </c>
      <c r="F8" s="117">
        <v>56888.7</v>
      </c>
      <c r="G8" s="117">
        <v>79961.7</v>
      </c>
      <c r="H8" s="117">
        <v>45420.44</v>
      </c>
      <c r="I8" s="45">
        <v>35</v>
      </c>
      <c r="J8" s="117">
        <v>127319.89</v>
      </c>
      <c r="K8" s="117">
        <v>9474.32</v>
      </c>
      <c r="L8" s="117">
        <v>645.91</v>
      </c>
      <c r="M8" s="117">
        <v>157111.57</v>
      </c>
      <c r="N8" s="117">
        <v>335261.02714999998</v>
      </c>
      <c r="O8" s="117">
        <v>8750.9599999999991</v>
      </c>
      <c r="P8" s="117">
        <v>0</v>
      </c>
      <c r="Q8" s="117">
        <v>0</v>
      </c>
      <c r="R8" s="117">
        <v>107093.01</v>
      </c>
      <c r="S8" s="117">
        <v>145311.26999999999</v>
      </c>
      <c r="T8" s="117">
        <v>240401.8</v>
      </c>
      <c r="U8" s="117">
        <v>81631.399999999994</v>
      </c>
      <c r="V8" s="117">
        <v>134353.51</v>
      </c>
    </row>
    <row r="9" spans="1:22" x14ac:dyDescent="0.2">
      <c r="A9" s="45" t="s">
        <v>108</v>
      </c>
      <c r="B9" s="87">
        <f>C9/C$10</f>
        <v>0.41496871803614183</v>
      </c>
      <c r="C9" s="88">
        <v>5179926.10415</v>
      </c>
      <c r="D9" s="88"/>
      <c r="E9" s="117">
        <v>603677.99</v>
      </c>
      <c r="F9" s="117">
        <v>179273.32</v>
      </c>
      <c r="G9" s="117">
        <v>233689.68</v>
      </c>
      <c r="H9" s="117">
        <v>181496.34</v>
      </c>
      <c r="I9" s="88">
        <v>20831</v>
      </c>
      <c r="J9" s="117">
        <v>423189.62</v>
      </c>
      <c r="K9" s="117">
        <v>21960.75</v>
      </c>
      <c r="L9" s="117">
        <v>20881.63</v>
      </c>
      <c r="M9" s="117">
        <v>393204.07</v>
      </c>
      <c r="N9" s="117">
        <v>1246682.1200000001</v>
      </c>
      <c r="O9" s="117">
        <v>54240.67</v>
      </c>
      <c r="P9" s="117">
        <v>9464.67</v>
      </c>
      <c r="Q9" s="117">
        <v>3000.01</v>
      </c>
      <c r="R9" s="117">
        <v>219296.78</v>
      </c>
      <c r="S9" s="117">
        <v>376553.26</v>
      </c>
      <c r="T9" s="117">
        <v>361968.37</v>
      </c>
      <c r="U9" s="117">
        <v>280542.21999999997</v>
      </c>
      <c r="V9" s="117">
        <v>549973.56000000006</v>
      </c>
    </row>
    <row r="10" spans="1:22" x14ac:dyDescent="0.2">
      <c r="C10" s="91">
        <v>12482690.571627263</v>
      </c>
      <c r="D10" s="91"/>
      <c r="E10" s="118">
        <v>1187252.8952874255</v>
      </c>
      <c r="F10" s="118">
        <v>370455.84230891411</v>
      </c>
      <c r="G10" s="118">
        <v>473445.55493742204</v>
      </c>
      <c r="H10" s="118">
        <v>358526.40894188033</v>
      </c>
      <c r="I10" s="91">
        <v>55703</v>
      </c>
      <c r="J10" s="118">
        <v>828619.96844092757</v>
      </c>
      <c r="K10" s="118">
        <v>61838.677343520299</v>
      </c>
      <c r="L10" s="118">
        <v>43813.03443</v>
      </c>
      <c r="M10" s="118">
        <v>836862.50189693458</v>
      </c>
      <c r="N10" s="118">
        <v>4338387.7863166574</v>
      </c>
      <c r="O10" s="118">
        <f>SUM(O5:O9)</f>
        <v>114259.59358897767</v>
      </c>
      <c r="P10" s="118">
        <v>33998.86191</v>
      </c>
      <c r="Q10" s="118">
        <v>8504.3765000000003</v>
      </c>
      <c r="R10" s="118">
        <v>493020.57214724307</v>
      </c>
      <c r="S10" s="118">
        <v>857258.00915429869</v>
      </c>
      <c r="T10" s="118">
        <v>903519.81663641089</v>
      </c>
      <c r="U10" s="118">
        <v>538812.72297403566</v>
      </c>
      <c r="V10" s="118">
        <v>978410.12419261411</v>
      </c>
    </row>
    <row r="12" spans="1:22" x14ac:dyDescent="0.2">
      <c r="A12" s="86" t="s">
        <v>109</v>
      </c>
    </row>
    <row r="13" spans="1:22" x14ac:dyDescent="0.2">
      <c r="A13" s="86" t="s">
        <v>177</v>
      </c>
    </row>
    <row r="14" spans="1:22" x14ac:dyDescent="0.2">
      <c r="A14" s="86" t="s">
        <v>110</v>
      </c>
    </row>
    <row r="15" spans="1:22" x14ac:dyDescent="0.2">
      <c r="A15" s="86" t="s">
        <v>111</v>
      </c>
    </row>
    <row r="16" spans="1:22" x14ac:dyDescent="0.2">
      <c r="K16" s="88"/>
    </row>
    <row r="17" spans="9:11" x14ac:dyDescent="0.2">
      <c r="K17" s="88"/>
    </row>
    <row r="18" spans="9:11" x14ac:dyDescent="0.2">
      <c r="K18" s="88"/>
    </row>
    <row r="19" spans="9:11" x14ac:dyDescent="0.2">
      <c r="I19" s="88"/>
      <c r="K19" s="88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baseColWidth="10" defaultRowHeight="11.25" x14ac:dyDescent="0.2"/>
  <cols>
    <col min="1" max="1" width="24.42578125" style="45" customWidth="1"/>
    <col min="2" max="16384" width="11.42578125" style="45"/>
  </cols>
  <sheetData>
    <row r="1" spans="1:2" x14ac:dyDescent="0.2">
      <c r="A1" s="110" t="s">
        <v>175</v>
      </c>
    </row>
    <row r="2" spans="1:2" x14ac:dyDescent="0.2">
      <c r="A2" s="110"/>
    </row>
    <row r="3" spans="1:2" x14ac:dyDescent="0.2">
      <c r="B3" s="50" t="s">
        <v>176</v>
      </c>
    </row>
    <row r="4" spans="1:2" x14ac:dyDescent="0.2">
      <c r="A4" s="45" t="s">
        <v>78</v>
      </c>
      <c r="B4" s="113">
        <v>126.51955740778317</v>
      </c>
    </row>
    <row r="5" spans="1:2" x14ac:dyDescent="0.2">
      <c r="A5" s="45" t="s">
        <v>130</v>
      </c>
      <c r="B5" s="113">
        <v>108.62058872829786</v>
      </c>
    </row>
    <row r="6" spans="1:2" x14ac:dyDescent="0.2">
      <c r="A6" s="45" t="s">
        <v>46</v>
      </c>
      <c r="B6" s="113">
        <v>124.21401606645131</v>
      </c>
    </row>
    <row r="7" spans="1:2" x14ac:dyDescent="0.2">
      <c r="A7" s="45" t="s">
        <v>131</v>
      </c>
      <c r="B7" s="113">
        <v>117.20724253642119</v>
      </c>
    </row>
    <row r="8" spans="1:2" x14ac:dyDescent="0.2">
      <c r="A8" s="45" t="s">
        <v>52</v>
      </c>
      <c r="B8" s="113">
        <v>150.88533844012323</v>
      </c>
    </row>
    <row r="9" spans="1:2" x14ac:dyDescent="0.2">
      <c r="A9" s="45" t="s">
        <v>44</v>
      </c>
      <c r="B9" s="113">
        <v>124.08551359315031</v>
      </c>
    </row>
    <row r="10" spans="1:2" x14ac:dyDescent="0.2">
      <c r="A10" s="45" t="s">
        <v>132</v>
      </c>
      <c r="B10" s="113">
        <v>139.72619317980352</v>
      </c>
    </row>
    <row r="11" spans="1:2" x14ac:dyDescent="0.2">
      <c r="A11" s="115" t="s">
        <v>133</v>
      </c>
      <c r="B11" s="116">
        <v>137.78476852615324</v>
      </c>
    </row>
    <row r="12" spans="1:2" x14ac:dyDescent="0.2">
      <c r="A12" s="45" t="s">
        <v>45</v>
      </c>
      <c r="B12" s="113">
        <v>121.47467730336597</v>
      </c>
    </row>
    <row r="13" spans="1:2" x14ac:dyDescent="0.2">
      <c r="A13" s="45" t="s">
        <v>39</v>
      </c>
      <c r="B13" s="114">
        <v>155.51651595623812</v>
      </c>
    </row>
    <row r="14" spans="1:2" x14ac:dyDescent="0.2">
      <c r="A14" s="45" t="s">
        <v>134</v>
      </c>
      <c r="B14" s="113">
        <v>121.38842871075627</v>
      </c>
    </row>
    <row r="15" spans="1:2" x14ac:dyDescent="0.2">
      <c r="A15" s="115" t="s">
        <v>135</v>
      </c>
      <c r="B15" s="116">
        <v>70.968673351973194</v>
      </c>
    </row>
    <row r="16" spans="1:2" x14ac:dyDescent="0.2">
      <c r="A16" s="45" t="s">
        <v>136</v>
      </c>
      <c r="B16" s="113">
        <v>31.461015647178666</v>
      </c>
    </row>
    <row r="17" spans="1:2" x14ac:dyDescent="0.2">
      <c r="A17" s="45" t="s">
        <v>48</v>
      </c>
      <c r="B17" s="113">
        <v>128.19807993477153</v>
      </c>
    </row>
    <row r="18" spans="1:2" x14ac:dyDescent="0.2">
      <c r="A18" s="45" t="s">
        <v>137</v>
      </c>
      <c r="B18" s="113">
        <v>119.83458826130769</v>
      </c>
    </row>
    <row r="19" spans="1:2" x14ac:dyDescent="0.2">
      <c r="A19" s="45" t="s">
        <v>42</v>
      </c>
      <c r="B19" s="113">
        <v>133.74028461232629</v>
      </c>
    </row>
    <row r="20" spans="1:2" x14ac:dyDescent="0.2">
      <c r="A20" s="45" t="s">
        <v>47</v>
      </c>
      <c r="B20" s="113">
        <v>126.68792382379371</v>
      </c>
    </row>
    <row r="21" spans="1:2" x14ac:dyDescent="0.2">
      <c r="A21" s="45" t="s">
        <v>138</v>
      </c>
      <c r="B21" s="113">
        <v>166.70168604766744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baseColWidth="10" defaultRowHeight="11.25" x14ac:dyDescent="0.2"/>
  <cols>
    <col min="1" max="1" width="22.5703125" style="45" customWidth="1"/>
    <col min="2" max="2" width="14.7109375" style="45" customWidth="1"/>
    <col min="3" max="16384" width="11.42578125" style="45"/>
  </cols>
  <sheetData>
    <row r="1" spans="1:2" x14ac:dyDescent="0.2">
      <c r="A1" s="48" t="s">
        <v>99</v>
      </c>
    </row>
    <row r="3" spans="1:2" x14ac:dyDescent="0.2">
      <c r="B3" s="50" t="s">
        <v>176</v>
      </c>
    </row>
    <row r="4" spans="1:2" x14ac:dyDescent="0.2">
      <c r="A4" s="45" t="s">
        <v>78</v>
      </c>
      <c r="B4" s="113">
        <v>23.136684119901172</v>
      </c>
    </row>
    <row r="5" spans="1:2" x14ac:dyDescent="0.2">
      <c r="A5" s="45" t="s">
        <v>130</v>
      </c>
      <c r="B5" s="113">
        <v>22.763736657404237</v>
      </c>
    </row>
    <row r="6" spans="1:2" x14ac:dyDescent="0.2">
      <c r="A6" s="45" t="s">
        <v>46</v>
      </c>
      <c r="B6" s="113">
        <v>18.854608847402105</v>
      </c>
    </row>
    <row r="7" spans="1:2" x14ac:dyDescent="0.2">
      <c r="A7" s="45" t="s">
        <v>131</v>
      </c>
      <c r="B7" s="113">
        <v>21.725195136289074</v>
      </c>
    </row>
    <row r="8" spans="1:2" x14ac:dyDescent="0.2">
      <c r="A8" s="45" t="s">
        <v>52</v>
      </c>
      <c r="B8" s="113">
        <v>17.528356805098689</v>
      </c>
    </row>
    <row r="9" spans="1:2" x14ac:dyDescent="0.2">
      <c r="A9" s="45" t="s">
        <v>44</v>
      </c>
      <c r="B9" s="113">
        <v>25.024762268775316</v>
      </c>
    </row>
    <row r="10" spans="1:2" x14ac:dyDescent="0.2">
      <c r="A10" s="45" t="s">
        <v>132</v>
      </c>
      <c r="B10" s="113">
        <v>16.427351014615716</v>
      </c>
    </row>
    <row r="11" spans="1:2" x14ac:dyDescent="0.2">
      <c r="A11" s="115" t="s">
        <v>133</v>
      </c>
      <c r="B11" s="116">
        <v>26.424616471523013</v>
      </c>
    </row>
    <row r="12" spans="1:2" x14ac:dyDescent="0.2">
      <c r="A12" s="45" t="s">
        <v>45</v>
      </c>
      <c r="B12" s="113">
        <v>17.608522723646637</v>
      </c>
    </row>
    <row r="13" spans="1:2" x14ac:dyDescent="0.2">
      <c r="A13" s="45" t="s">
        <v>39</v>
      </c>
      <c r="B13" s="114">
        <v>201.87806382275875</v>
      </c>
    </row>
    <row r="14" spans="1:2" x14ac:dyDescent="0.2">
      <c r="A14" s="45" t="s">
        <v>134</v>
      </c>
      <c r="B14" s="113">
        <v>12.093652417312315</v>
      </c>
    </row>
    <row r="15" spans="1:2" x14ac:dyDescent="0.2">
      <c r="A15" s="115" t="s">
        <v>135</v>
      </c>
      <c r="B15" s="116">
        <v>18.965175204936994</v>
      </c>
    </row>
    <row r="16" spans="1:2" x14ac:dyDescent="0.2">
      <c r="A16" s="45" t="s">
        <v>136</v>
      </c>
      <c r="B16" s="113">
        <v>4.0431194996910644</v>
      </c>
    </row>
    <row r="17" spans="1:2" x14ac:dyDescent="0.2">
      <c r="A17" s="45" t="s">
        <v>48</v>
      </c>
      <c r="B17" s="113">
        <v>19.349256586980463</v>
      </c>
    </row>
    <row r="18" spans="1:2" x14ac:dyDescent="0.2">
      <c r="A18" s="45" t="s">
        <v>137</v>
      </c>
      <c r="B18" s="113">
        <v>24.472381848246528</v>
      </c>
    </row>
    <row r="19" spans="1:2" x14ac:dyDescent="0.2">
      <c r="A19" s="45" t="s">
        <v>42</v>
      </c>
      <c r="B19" s="113">
        <v>21.526853494104195</v>
      </c>
    </row>
    <row r="20" spans="1:2" x14ac:dyDescent="0.2">
      <c r="A20" s="45" t="s">
        <v>47</v>
      </c>
      <c r="B20" s="113">
        <v>17.278103073286811</v>
      </c>
    </row>
    <row r="21" spans="1:2" x14ac:dyDescent="0.2">
      <c r="A21" s="45" t="s">
        <v>138</v>
      </c>
      <c r="B21" s="113">
        <v>27.877425470945592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workbookViewId="0">
      <selection activeCell="E35" sqref="E35"/>
    </sheetView>
  </sheetViews>
  <sheetFormatPr baseColWidth="10" defaultColWidth="11.42578125" defaultRowHeight="11.25" x14ac:dyDescent="0.2"/>
  <cols>
    <col min="1" max="1" width="18.85546875" style="45" customWidth="1"/>
    <col min="2" max="2" width="37.42578125" style="45" bestFit="1" customWidth="1"/>
    <col min="3" max="3" width="22.7109375" style="45" customWidth="1"/>
    <col min="4" max="4" width="17.5703125" style="45" bestFit="1" customWidth="1"/>
    <col min="5" max="5" width="29.85546875" style="45" customWidth="1"/>
    <col min="6" max="6" width="11.42578125" style="45"/>
    <col min="7" max="7" width="14.7109375" style="45" bestFit="1" customWidth="1"/>
    <col min="8" max="11" width="11.42578125" style="45"/>
    <col min="12" max="12" width="12.7109375" style="45" bestFit="1" customWidth="1"/>
    <col min="13" max="17" width="11.42578125" style="45"/>
    <col min="18" max="18" width="13.7109375" style="45" bestFit="1" customWidth="1"/>
    <col min="19" max="16384" width="11.42578125" style="45"/>
  </cols>
  <sheetData>
    <row r="1" spans="1:21" x14ac:dyDescent="0.2">
      <c r="A1" s="110" t="s">
        <v>127</v>
      </c>
    </row>
    <row r="3" spans="1:21" x14ac:dyDescent="0.2">
      <c r="C3" s="111" t="s">
        <v>173</v>
      </c>
    </row>
    <row r="4" spans="1:21" x14ac:dyDescent="0.2">
      <c r="C4" s="48"/>
      <c r="D4" s="48" t="s">
        <v>78</v>
      </c>
      <c r="E4" s="48" t="s">
        <v>130</v>
      </c>
      <c r="F4" s="48" t="s">
        <v>46</v>
      </c>
      <c r="G4" s="48" t="s">
        <v>131</v>
      </c>
      <c r="H4" s="48" t="s">
        <v>52</v>
      </c>
      <c r="I4" s="48" t="s">
        <v>44</v>
      </c>
      <c r="J4" s="48" t="s">
        <v>132</v>
      </c>
      <c r="K4" s="122" t="s">
        <v>133</v>
      </c>
      <c r="L4" s="48" t="s">
        <v>45</v>
      </c>
      <c r="M4" s="48" t="s">
        <v>39</v>
      </c>
      <c r="N4" s="48" t="s">
        <v>134</v>
      </c>
      <c r="O4" s="122" t="s">
        <v>135</v>
      </c>
      <c r="P4" s="48" t="s">
        <v>136</v>
      </c>
      <c r="Q4" s="48" t="s">
        <v>48</v>
      </c>
      <c r="R4" s="48" t="s">
        <v>137</v>
      </c>
      <c r="S4" s="48" t="s">
        <v>42</v>
      </c>
      <c r="T4" s="48" t="s">
        <v>47</v>
      </c>
      <c r="U4" s="48" t="s">
        <v>138</v>
      </c>
    </row>
    <row r="5" spans="1:21" x14ac:dyDescent="0.2">
      <c r="A5" s="48" t="s">
        <v>113</v>
      </c>
      <c r="B5" s="124">
        <v>1428.4927910900001</v>
      </c>
      <c r="C5" s="120">
        <v>167.59107</v>
      </c>
      <c r="D5" s="88">
        <v>59.940739999999998</v>
      </c>
      <c r="E5" s="120">
        <v>71.004859999999994</v>
      </c>
      <c r="F5" s="88">
        <v>50.352650000000004</v>
      </c>
      <c r="G5" s="120">
        <v>1.55684</v>
      </c>
      <c r="H5" s="120">
        <v>115.72162</v>
      </c>
      <c r="I5" s="120">
        <v>0.16453343000000001</v>
      </c>
      <c r="J5" s="120">
        <v>1.1403140000000001E-2</v>
      </c>
      <c r="K5" s="120">
        <v>125.29394000000001</v>
      </c>
      <c r="L5" s="120">
        <v>321.30364000000003</v>
      </c>
      <c r="M5" s="120">
        <v>7.5538996100000002</v>
      </c>
      <c r="N5" s="120">
        <v>1.99604491</v>
      </c>
      <c r="O5" s="120">
        <v>0</v>
      </c>
      <c r="P5" s="120">
        <v>64.092289999999991</v>
      </c>
      <c r="Q5" s="120">
        <v>107.61432999999998</v>
      </c>
      <c r="R5" s="120">
        <v>94.041610000000006</v>
      </c>
      <c r="S5" s="120">
        <v>73.0916</v>
      </c>
      <c r="T5" s="120">
        <v>167.16172</v>
      </c>
    </row>
    <row r="6" spans="1:21" x14ac:dyDescent="0.2">
      <c r="A6" s="48" t="s">
        <v>114</v>
      </c>
      <c r="B6" s="124">
        <v>1369.45800975</v>
      </c>
      <c r="C6" s="120">
        <v>175.32845999999998</v>
      </c>
      <c r="D6" s="88">
        <v>38.62753</v>
      </c>
      <c r="E6" s="120">
        <v>71.552239999999998</v>
      </c>
      <c r="F6" s="88">
        <v>45.466089999999994</v>
      </c>
      <c r="G6" s="120">
        <v>2.5390199999999998</v>
      </c>
      <c r="H6" s="120">
        <v>99.592559999999992</v>
      </c>
      <c r="I6" s="120">
        <v>7.4104981900000046</v>
      </c>
      <c r="J6" s="120">
        <v>5.4951852199999998</v>
      </c>
      <c r="K6" s="120">
        <v>94.842100000000002</v>
      </c>
      <c r="L6" s="120">
        <v>343.36736999999999</v>
      </c>
      <c r="M6" s="120">
        <v>29.493072540000007</v>
      </c>
      <c r="N6" s="120">
        <v>0.69016410000000017</v>
      </c>
      <c r="O6" s="120">
        <v>2.5903396999999999</v>
      </c>
      <c r="P6" s="120">
        <v>74.527100000000004</v>
      </c>
      <c r="Q6" s="120">
        <v>118.95425</v>
      </c>
      <c r="R6" s="120">
        <v>100.52918</v>
      </c>
      <c r="S6" s="120">
        <v>59.133609999999997</v>
      </c>
      <c r="T6" s="120">
        <v>99.319240000000008</v>
      </c>
    </row>
    <row r="7" spans="1:21" x14ac:dyDescent="0.2">
      <c r="A7" s="48" t="s">
        <v>115</v>
      </c>
      <c r="B7" s="124">
        <v>1168.4821033200001</v>
      </c>
      <c r="C7" s="120">
        <v>110.11690000000002</v>
      </c>
      <c r="D7" s="88">
        <v>22.946069999999999</v>
      </c>
      <c r="E7" s="120">
        <v>52.965410000000006</v>
      </c>
      <c r="F7" s="88">
        <v>37.11656</v>
      </c>
      <c r="G7" s="120">
        <v>6.4260399999999995</v>
      </c>
      <c r="H7" s="120">
        <v>85.591279999999998</v>
      </c>
      <c r="I7" s="120">
        <v>12.980123429999997</v>
      </c>
      <c r="J7" s="120">
        <v>9.9816667500000005</v>
      </c>
      <c r="K7" s="120">
        <v>108.95310999999998</v>
      </c>
      <c r="L7" s="120">
        <v>294.41568999999998</v>
      </c>
      <c r="M7" s="120">
        <v>13.369012140000002</v>
      </c>
      <c r="N7" s="120">
        <v>2.3520309999999998</v>
      </c>
      <c r="O7" s="120">
        <v>0</v>
      </c>
      <c r="P7" s="120">
        <v>45.264919999999996</v>
      </c>
      <c r="Q7" s="120">
        <v>90.142899999999997</v>
      </c>
      <c r="R7" s="120">
        <v>76.698729999999998</v>
      </c>
      <c r="S7" s="120">
        <v>87.767160000000004</v>
      </c>
      <c r="T7" s="120">
        <v>111.39449999999999</v>
      </c>
    </row>
    <row r="8" spans="1:21" x14ac:dyDescent="0.2">
      <c r="A8" s="48" t="s">
        <v>116</v>
      </c>
      <c r="B8" s="124">
        <v>638.96134736999977</v>
      </c>
      <c r="C8" s="120">
        <v>70.151759999999996</v>
      </c>
      <c r="D8" s="88">
        <v>38.866059999999997</v>
      </c>
      <c r="E8" s="120">
        <v>18.978860000000001</v>
      </c>
      <c r="F8" s="88">
        <v>28.550470000000001</v>
      </c>
      <c r="G8" s="120">
        <v>4.1005200000000004</v>
      </c>
      <c r="H8" s="120">
        <v>77.620260000000002</v>
      </c>
      <c r="I8" s="120">
        <v>4.4343219999999996E-2</v>
      </c>
      <c r="J8" s="120">
        <v>0.18641710999999997</v>
      </c>
      <c r="K8" s="120">
        <v>49.888719999999999</v>
      </c>
      <c r="L8" s="120">
        <v>95.484089999999995</v>
      </c>
      <c r="M8" s="120">
        <v>0.12002606</v>
      </c>
      <c r="N8" s="120">
        <v>0.14327098000000002</v>
      </c>
      <c r="O8" s="120">
        <v>0</v>
      </c>
      <c r="P8" s="120">
        <v>27.282060000000001</v>
      </c>
      <c r="Q8" s="120">
        <v>48.412179999999999</v>
      </c>
      <c r="R8" s="120">
        <v>81.005739999999989</v>
      </c>
      <c r="S8" s="120">
        <v>17.208909999999999</v>
      </c>
      <c r="T8" s="120">
        <v>80.917659999999984</v>
      </c>
    </row>
    <row r="9" spans="1:21" x14ac:dyDescent="0.2">
      <c r="A9" s="48" t="s">
        <v>117</v>
      </c>
      <c r="B9" s="124">
        <v>595.21373025999992</v>
      </c>
      <c r="C9" s="120">
        <v>63.577599999999997</v>
      </c>
      <c r="D9" s="88">
        <v>18.704990000000002</v>
      </c>
      <c r="E9" s="120">
        <v>16.16564</v>
      </c>
      <c r="F9" s="88">
        <v>17.511130000000001</v>
      </c>
      <c r="G9" s="120">
        <v>1.3007899999999999</v>
      </c>
      <c r="H9" s="120">
        <v>46.004489999999997</v>
      </c>
      <c r="I9" s="120">
        <v>4.5524657799999986</v>
      </c>
      <c r="J9" s="120">
        <v>3.5755516099999993</v>
      </c>
      <c r="K9" s="120">
        <v>35.604099999999995</v>
      </c>
      <c r="L9" s="120">
        <v>128.39666999999997</v>
      </c>
      <c r="M9" s="120">
        <v>6.9412431900000007</v>
      </c>
      <c r="N9" s="120">
        <v>2.4297267600000003</v>
      </c>
      <c r="O9" s="120">
        <v>0.14170292000000001</v>
      </c>
      <c r="P9" s="120">
        <v>26.293279999999999</v>
      </c>
      <c r="Q9" s="120">
        <v>36.831849999999996</v>
      </c>
      <c r="R9" s="120">
        <v>84.227229999999992</v>
      </c>
      <c r="S9" s="120">
        <v>41.569249999999997</v>
      </c>
      <c r="T9" s="120">
        <v>61.386019999999995</v>
      </c>
    </row>
    <row r="10" spans="1:21" x14ac:dyDescent="0.2">
      <c r="A10" s="48" t="s">
        <v>118</v>
      </c>
      <c r="B10" s="124">
        <v>484.52955353999999</v>
      </c>
      <c r="C10" s="120">
        <v>58.539760000000001</v>
      </c>
      <c r="D10" s="88">
        <v>11.81992</v>
      </c>
      <c r="E10" s="120">
        <v>14.058060000000001</v>
      </c>
      <c r="F10" s="88">
        <v>12.556889999999999</v>
      </c>
      <c r="G10" s="120">
        <v>1.58985</v>
      </c>
      <c r="H10" s="120">
        <v>46.602699999999999</v>
      </c>
      <c r="I10" s="120">
        <v>0.34510585999999999</v>
      </c>
      <c r="J10" s="120">
        <v>0</v>
      </c>
      <c r="K10" s="120">
        <v>31.690560000000001</v>
      </c>
      <c r="L10" s="120">
        <v>125.59493000000001</v>
      </c>
      <c r="M10" s="120">
        <v>0.86146767999999996</v>
      </c>
      <c r="N10" s="120">
        <v>0.10298</v>
      </c>
      <c r="O10" s="120">
        <v>0</v>
      </c>
      <c r="P10" s="120">
        <v>21.487160000000003</v>
      </c>
      <c r="Q10" s="120">
        <v>25.30275</v>
      </c>
      <c r="R10" s="120">
        <v>46.134399999999992</v>
      </c>
      <c r="S10" s="120">
        <v>24.429639999999999</v>
      </c>
      <c r="T10" s="120">
        <v>63.413380000000004</v>
      </c>
    </row>
    <row r="11" spans="1:21" x14ac:dyDescent="0.2">
      <c r="A11" s="48" t="s">
        <v>119</v>
      </c>
      <c r="B11" s="124">
        <v>394.29567156000002</v>
      </c>
      <c r="C11" s="120">
        <v>33.914799999999993</v>
      </c>
      <c r="D11" s="88">
        <v>8.3004999999999995</v>
      </c>
      <c r="E11" s="120">
        <v>28.30124</v>
      </c>
      <c r="F11" s="88">
        <v>7.6873600000000009</v>
      </c>
      <c r="G11" s="120">
        <v>0.83241999999999994</v>
      </c>
      <c r="H11" s="120">
        <v>28.290010000000002</v>
      </c>
      <c r="I11" s="120">
        <v>1.3872343599999999</v>
      </c>
      <c r="J11" s="120">
        <v>5.0110099999999998E-3</v>
      </c>
      <c r="K11" s="120">
        <v>34.669069999999998</v>
      </c>
      <c r="L11" s="120">
        <v>106.17804999999998</v>
      </c>
      <c r="M11" s="120">
        <v>2.6583992400000005</v>
      </c>
      <c r="N11" s="120">
        <v>0.15366519000000003</v>
      </c>
      <c r="O11" s="120">
        <v>1.6961760000000003E-2</v>
      </c>
      <c r="P11" s="120">
        <v>21.165700000000001</v>
      </c>
      <c r="Q11" s="120">
        <v>28.135999999999999</v>
      </c>
      <c r="R11" s="120">
        <v>48.691760000000002</v>
      </c>
      <c r="S11" s="120">
        <v>18.96669</v>
      </c>
      <c r="T11" s="120">
        <v>24.940799999999999</v>
      </c>
    </row>
    <row r="12" spans="1:21" x14ac:dyDescent="0.2">
      <c r="A12" s="48" t="s">
        <v>120</v>
      </c>
      <c r="B12" s="124">
        <v>310.24057070999999</v>
      </c>
      <c r="C12" s="120">
        <v>30.875070000000001</v>
      </c>
      <c r="D12" s="88">
        <v>10.34393</v>
      </c>
      <c r="E12" s="120">
        <v>13.197619999999999</v>
      </c>
      <c r="F12" s="88">
        <v>13.52407</v>
      </c>
      <c r="G12" s="120">
        <v>2.2969400000000002</v>
      </c>
      <c r="H12" s="120">
        <v>28.968389999999999</v>
      </c>
      <c r="I12" s="120">
        <v>3.4462954399999997</v>
      </c>
      <c r="J12" s="120">
        <v>1.9994107800000001</v>
      </c>
      <c r="K12" s="120">
        <v>35.260259999999995</v>
      </c>
      <c r="L12" s="120">
        <v>50.499189999999992</v>
      </c>
      <c r="M12" s="120">
        <v>1.0468628999999998</v>
      </c>
      <c r="N12" s="120">
        <v>0.86310799999999999</v>
      </c>
      <c r="O12" s="120">
        <v>5.5423589999999995E-2</v>
      </c>
      <c r="P12" s="120">
        <v>18.5595</v>
      </c>
      <c r="Q12" s="120">
        <v>17.653179999999999</v>
      </c>
      <c r="R12" s="120">
        <v>25.29354</v>
      </c>
      <c r="S12" s="120">
        <v>20.3154</v>
      </c>
      <c r="T12" s="120">
        <v>36.042380000000001</v>
      </c>
    </row>
    <row r="13" spans="1:21" x14ac:dyDescent="0.2">
      <c r="A13" s="48" t="s">
        <v>121</v>
      </c>
      <c r="B13" s="124">
        <v>220.96321786000001</v>
      </c>
      <c r="C13" s="120">
        <v>26.245180000000001</v>
      </c>
      <c r="D13" s="88">
        <v>3.6812900000000002</v>
      </c>
      <c r="E13" s="120">
        <v>7.5313699999999999</v>
      </c>
      <c r="F13" s="88">
        <v>8.0977899999999998</v>
      </c>
      <c r="G13" s="120">
        <v>5.3469999999999997E-2</v>
      </c>
      <c r="H13" s="120">
        <v>7.8807399999999994</v>
      </c>
      <c r="I13" s="120">
        <v>0.13830321000000001</v>
      </c>
      <c r="J13" s="120">
        <v>6.0442899999999994E-2</v>
      </c>
      <c r="K13" s="120">
        <v>14.579920000000001</v>
      </c>
      <c r="L13" s="120">
        <v>93.171139999999994</v>
      </c>
      <c r="M13" s="120">
        <v>0.61762514000000002</v>
      </c>
      <c r="N13" s="120">
        <v>2.165661E-2</v>
      </c>
      <c r="O13" s="120">
        <v>0</v>
      </c>
      <c r="P13" s="120">
        <v>9.5379100000000001</v>
      </c>
      <c r="Q13" s="120">
        <v>8.8213399999999993</v>
      </c>
      <c r="R13" s="120">
        <v>9.7247900000000005</v>
      </c>
      <c r="S13" s="120">
        <v>4.8286699999999998</v>
      </c>
      <c r="T13" s="120">
        <v>25.971579999999999</v>
      </c>
    </row>
    <row r="14" spans="1:21" x14ac:dyDescent="0.2">
      <c r="A14" s="48" t="s">
        <v>123</v>
      </c>
      <c r="B14" s="124">
        <v>188.17299272000002</v>
      </c>
      <c r="C14" s="120">
        <v>18.97429</v>
      </c>
      <c r="D14" s="88">
        <v>21.047999999999998</v>
      </c>
      <c r="E14" s="120">
        <v>16.82836</v>
      </c>
      <c r="F14" s="88">
        <v>4.1062700000000003</v>
      </c>
      <c r="G14" s="120">
        <v>1.005E-2</v>
      </c>
      <c r="H14" s="120">
        <v>9.4235900000000008</v>
      </c>
      <c r="I14" s="120">
        <v>0.55076296000000002</v>
      </c>
      <c r="J14" s="120">
        <v>0</v>
      </c>
      <c r="K14" s="120">
        <v>14.182600000000003</v>
      </c>
      <c r="L14" s="120">
        <v>7.1853400000000001</v>
      </c>
      <c r="M14" s="120">
        <v>0</v>
      </c>
      <c r="N14" s="120">
        <v>1.0370200000000001E-2</v>
      </c>
      <c r="O14" s="120">
        <v>0.15881956000000003</v>
      </c>
      <c r="P14" s="120">
        <v>16.157170000000001</v>
      </c>
      <c r="Q14" s="120">
        <v>32.611620000000002</v>
      </c>
      <c r="R14" s="120">
        <v>30.504570000000001</v>
      </c>
      <c r="S14" s="120">
        <v>12.382580000000001</v>
      </c>
      <c r="T14" s="120">
        <v>4.0386000000000006</v>
      </c>
    </row>
    <row r="15" spans="1:21" x14ac:dyDescent="0.2">
      <c r="A15" s="48" t="s">
        <v>122</v>
      </c>
      <c r="B15" s="124">
        <v>69.961978930000001</v>
      </c>
      <c r="C15" s="120">
        <v>7.5482200000000006</v>
      </c>
      <c r="D15" s="88">
        <v>1.8829899999999999</v>
      </c>
      <c r="E15" s="120">
        <v>3.0677099999999999</v>
      </c>
      <c r="F15" s="88">
        <v>1.9475100000000001</v>
      </c>
      <c r="G15" s="120">
        <v>0.16037000000000001</v>
      </c>
      <c r="H15" s="120">
        <v>4.8138800000000002</v>
      </c>
      <c r="I15" s="120">
        <v>0.41539976999999989</v>
      </c>
      <c r="J15" s="120">
        <v>0.21244739999999998</v>
      </c>
      <c r="K15" s="120">
        <v>5.3512599999999999</v>
      </c>
      <c r="L15" s="120">
        <v>16.34704</v>
      </c>
      <c r="M15" s="120">
        <v>0.33001874999999997</v>
      </c>
      <c r="N15" s="120">
        <v>0.70165491999999996</v>
      </c>
      <c r="O15" s="120">
        <v>3.675809E-2</v>
      </c>
      <c r="P15" s="120">
        <v>2.0226899999999999</v>
      </c>
      <c r="Q15" s="120">
        <v>7.3841000000000001</v>
      </c>
      <c r="R15" s="120">
        <v>5.5186200000000003</v>
      </c>
      <c r="S15" s="120">
        <v>2.4801400000000005</v>
      </c>
      <c r="T15" s="120">
        <v>9.7411700000000003</v>
      </c>
    </row>
    <row r="17" spans="1:18" x14ac:dyDescent="0.2">
      <c r="A17" s="50" t="s">
        <v>124</v>
      </c>
    </row>
    <row r="18" spans="1:18" x14ac:dyDescent="0.2">
      <c r="A18" s="50" t="s">
        <v>125</v>
      </c>
      <c r="I18" s="48"/>
      <c r="J18" s="121"/>
    </row>
    <row r="19" spans="1:18" x14ac:dyDescent="0.2">
      <c r="A19" s="86" t="s">
        <v>126</v>
      </c>
      <c r="I19" s="122"/>
      <c r="J19" s="123"/>
    </row>
    <row r="20" spans="1:18" x14ac:dyDescent="0.2">
      <c r="I20" s="122"/>
      <c r="J20" s="123"/>
    </row>
    <row r="21" spans="1:18" x14ac:dyDescent="0.2">
      <c r="H21" s="121"/>
      <c r="I21" s="115"/>
      <c r="J21" s="123"/>
    </row>
    <row r="22" spans="1:18" x14ac:dyDescent="0.2">
      <c r="H22" s="121"/>
      <c r="I22" s="115"/>
      <c r="J22" s="123"/>
    </row>
    <row r="23" spans="1:18" x14ac:dyDescent="0.2">
      <c r="H23" s="121"/>
      <c r="I23" s="115"/>
      <c r="J23" s="123"/>
    </row>
    <row r="24" spans="1:18" x14ac:dyDescent="0.2">
      <c r="A24" s="48"/>
      <c r="B24" s="48"/>
      <c r="D24" s="48"/>
      <c r="E24" s="48"/>
      <c r="F24" s="88"/>
      <c r="H24" s="121"/>
      <c r="I24" s="115"/>
      <c r="J24" s="123"/>
    </row>
    <row r="25" spans="1:18" x14ac:dyDescent="0.2">
      <c r="A25" s="48"/>
      <c r="B25" s="48"/>
      <c r="C25" s="115"/>
      <c r="D25" s="48"/>
      <c r="E25" s="48"/>
      <c r="F25" s="88"/>
      <c r="G25" s="115"/>
      <c r="H25" s="121"/>
      <c r="I25" s="115"/>
      <c r="J25" s="123"/>
      <c r="K25" s="115"/>
      <c r="L25" s="115"/>
      <c r="M25" s="115"/>
      <c r="N25" s="115"/>
      <c r="O25" s="115"/>
      <c r="P25" s="115"/>
      <c r="Q25" s="115"/>
      <c r="R25" s="115"/>
    </row>
    <row r="26" spans="1:18" x14ac:dyDescent="0.2">
      <c r="A26" s="48"/>
      <c r="B26" s="48"/>
      <c r="C26" s="115"/>
      <c r="D26" s="48"/>
      <c r="E26" s="48"/>
      <c r="F26" s="88"/>
      <c r="G26" s="115"/>
      <c r="H26" s="121"/>
      <c r="I26" s="115"/>
      <c r="J26" s="123"/>
      <c r="K26" s="115"/>
      <c r="L26" s="115"/>
      <c r="M26" s="115"/>
      <c r="N26" s="115"/>
      <c r="O26" s="115"/>
      <c r="P26" s="115"/>
      <c r="Q26" s="115"/>
      <c r="R26" s="115"/>
    </row>
    <row r="27" spans="1:18" x14ac:dyDescent="0.2">
      <c r="A27" s="48"/>
      <c r="B27" s="48"/>
      <c r="C27" s="115"/>
      <c r="D27" s="48"/>
      <c r="E27" s="48"/>
      <c r="F27" s="88"/>
      <c r="G27" s="115"/>
      <c r="H27" s="121"/>
      <c r="I27" s="115"/>
      <c r="J27" s="123"/>
      <c r="K27" s="115"/>
      <c r="L27" s="115"/>
      <c r="M27" s="115"/>
      <c r="N27" s="115"/>
      <c r="O27" s="115"/>
      <c r="P27" s="115"/>
      <c r="Q27" s="115"/>
      <c r="R27" s="115"/>
    </row>
    <row r="28" spans="1:18" x14ac:dyDescent="0.2">
      <c r="A28" s="48"/>
      <c r="B28" s="48"/>
      <c r="C28" s="115"/>
      <c r="D28" s="48"/>
      <c r="E28" s="48"/>
      <c r="F28" s="88"/>
      <c r="G28" s="115"/>
      <c r="H28" s="121"/>
      <c r="I28" s="115"/>
      <c r="J28" s="123"/>
      <c r="K28" s="115"/>
      <c r="L28" s="115"/>
      <c r="M28" s="115"/>
      <c r="N28" s="115"/>
      <c r="O28" s="115"/>
      <c r="P28" s="115"/>
      <c r="Q28" s="115"/>
      <c r="R28" s="115"/>
    </row>
    <row r="29" spans="1:18" x14ac:dyDescent="0.2">
      <c r="A29" s="48"/>
      <c r="B29" s="48"/>
      <c r="C29" s="115"/>
      <c r="D29" s="48"/>
      <c r="E29" s="48"/>
      <c r="F29" s="88"/>
      <c r="G29" s="115"/>
      <c r="H29" s="121"/>
      <c r="I29" s="115"/>
      <c r="J29" s="115"/>
      <c r="K29" s="115"/>
      <c r="L29" s="115"/>
      <c r="M29" s="115"/>
      <c r="N29" s="115"/>
      <c r="O29" s="115"/>
      <c r="P29" s="115"/>
      <c r="Q29" s="115"/>
      <c r="R29" s="115"/>
    </row>
    <row r="30" spans="1:18" x14ac:dyDescent="0.2">
      <c r="A30" s="48"/>
      <c r="B30" s="48"/>
      <c r="C30" s="115"/>
      <c r="D30" s="48"/>
      <c r="E30" s="48"/>
      <c r="F30" s="88"/>
      <c r="G30" s="115"/>
      <c r="H30" s="121"/>
      <c r="I30" s="115"/>
      <c r="J30" s="115"/>
      <c r="K30" s="115"/>
      <c r="L30" s="115"/>
      <c r="M30" s="115"/>
      <c r="N30" s="115"/>
      <c r="O30" s="115"/>
      <c r="P30" s="115"/>
      <c r="Q30" s="115"/>
      <c r="R30" s="115"/>
    </row>
    <row r="31" spans="1:18" x14ac:dyDescent="0.2">
      <c r="A31" s="48"/>
      <c r="B31" s="48"/>
      <c r="C31" s="123"/>
      <c r="D31" s="48"/>
      <c r="E31" s="48"/>
      <c r="F31" s="88"/>
      <c r="G31" s="123"/>
      <c r="H31" s="121"/>
      <c r="I31" s="115"/>
      <c r="J31" s="123"/>
      <c r="K31" s="123"/>
      <c r="L31" s="123"/>
      <c r="M31" s="123"/>
      <c r="N31" s="123"/>
      <c r="O31" s="123"/>
      <c r="P31" s="123"/>
      <c r="Q31" s="123"/>
      <c r="R31" s="115"/>
    </row>
    <row r="32" spans="1:18" x14ac:dyDescent="0.2">
      <c r="A32" s="48"/>
      <c r="B32" s="48"/>
      <c r="C32" s="123"/>
      <c r="D32" s="48"/>
      <c r="E32" s="48"/>
      <c r="F32" s="88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15"/>
    </row>
    <row r="33" spans="1:18" x14ac:dyDescent="0.2">
      <c r="A33" s="48"/>
      <c r="B33" s="48"/>
      <c r="C33" s="123"/>
      <c r="D33" s="48"/>
      <c r="E33" s="48"/>
      <c r="F33" s="88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15"/>
    </row>
    <row r="34" spans="1:18" x14ac:dyDescent="0.2">
      <c r="A34" s="48"/>
      <c r="B34" s="48"/>
      <c r="C34" s="123"/>
      <c r="D34" s="48"/>
      <c r="E34" s="48"/>
      <c r="F34" s="88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15"/>
    </row>
    <row r="35" spans="1:18" x14ac:dyDescent="0.2">
      <c r="B35" s="115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15"/>
    </row>
    <row r="36" spans="1:18" x14ac:dyDescent="0.2">
      <c r="B36" s="115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15"/>
    </row>
    <row r="37" spans="1:18" x14ac:dyDescent="0.2">
      <c r="B37" s="115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15"/>
    </row>
    <row r="38" spans="1:18" x14ac:dyDescent="0.2">
      <c r="B38" s="115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15"/>
      <c r="P38" s="115"/>
      <c r="Q38" s="115"/>
      <c r="R38" s="115"/>
    </row>
    <row r="39" spans="1:18" x14ac:dyDescent="0.2">
      <c r="B39" s="115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15"/>
      <c r="P39" s="115"/>
      <c r="Q39" s="115"/>
      <c r="R39" s="115"/>
    </row>
    <row r="40" spans="1:18" x14ac:dyDescent="0.2">
      <c r="B40" s="115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15"/>
      <c r="P40" s="115"/>
      <c r="Q40" s="115"/>
      <c r="R40" s="115"/>
    </row>
    <row r="41" spans="1:18" x14ac:dyDescent="0.2">
      <c r="B41" s="115"/>
      <c r="C41" s="123"/>
      <c r="D41" s="123"/>
      <c r="E41" s="123"/>
      <c r="F41" s="123"/>
      <c r="G41" s="123"/>
      <c r="H41" s="123"/>
      <c r="I41" s="123"/>
      <c r="J41" s="123"/>
      <c r="K41" s="123"/>
      <c r="L41" s="115"/>
      <c r="M41" s="115"/>
      <c r="N41" s="115"/>
      <c r="O41" s="115"/>
      <c r="P41" s="115"/>
      <c r="Q41" s="115"/>
      <c r="R41" s="115"/>
    </row>
    <row r="42" spans="1:18" x14ac:dyDescent="0.2">
      <c r="B42" s="115"/>
      <c r="C42" s="115"/>
      <c r="D42" s="115"/>
      <c r="E42" s="115"/>
      <c r="F42" s="115"/>
      <c r="G42" s="115"/>
      <c r="H42" s="123"/>
      <c r="I42" s="123"/>
      <c r="J42" s="123"/>
      <c r="K42" s="123"/>
      <c r="L42" s="115"/>
      <c r="M42" s="115"/>
      <c r="N42" s="115"/>
      <c r="O42" s="115"/>
      <c r="P42" s="115"/>
      <c r="Q42" s="115"/>
      <c r="R42" s="115"/>
    </row>
    <row r="43" spans="1:18" x14ac:dyDescent="0.2"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</row>
    <row r="44" spans="1:18" x14ac:dyDescent="0.2"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</row>
    <row r="45" spans="1:18" x14ac:dyDescent="0.2"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</row>
    <row r="46" spans="1:18" x14ac:dyDescent="0.2"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</row>
    <row r="47" spans="1:18" x14ac:dyDescent="0.2"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</row>
  </sheetData>
  <sortState ref="A5:U15">
    <sortCondition descending="1" ref="B5:B1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G36" sqref="G36"/>
    </sheetView>
  </sheetViews>
  <sheetFormatPr baseColWidth="10" defaultRowHeight="11.25" x14ac:dyDescent="0.2"/>
  <cols>
    <col min="1" max="1" width="39.140625" style="45" customWidth="1"/>
    <col min="2" max="2" width="12" style="45" customWidth="1"/>
    <col min="3" max="3" width="11.42578125" style="45"/>
    <col min="4" max="4" width="11.85546875" style="45" customWidth="1"/>
    <col min="5" max="11" width="11.42578125" style="45"/>
    <col min="12" max="12" width="13" style="45" customWidth="1"/>
    <col min="13" max="16384" width="11.42578125" style="45"/>
  </cols>
  <sheetData>
    <row r="1" spans="1:14" x14ac:dyDescent="0.2">
      <c r="A1" s="48" t="s">
        <v>172</v>
      </c>
    </row>
    <row r="3" spans="1:14" ht="67.5" x14ac:dyDescent="0.2">
      <c r="B3" s="102" t="s">
        <v>159</v>
      </c>
      <c r="C3" s="109" t="s">
        <v>164</v>
      </c>
      <c r="D3" s="109" t="s">
        <v>165</v>
      </c>
      <c r="E3" s="109" t="s">
        <v>166</v>
      </c>
      <c r="F3" s="102" t="s">
        <v>160</v>
      </c>
      <c r="G3" s="102" t="s">
        <v>161</v>
      </c>
      <c r="H3" s="102" t="s">
        <v>162</v>
      </c>
      <c r="I3" s="109" t="s">
        <v>167</v>
      </c>
      <c r="J3" s="109" t="s">
        <v>168</v>
      </c>
      <c r="K3" s="109" t="s">
        <v>169</v>
      </c>
      <c r="L3" s="102" t="s">
        <v>163</v>
      </c>
      <c r="M3" s="109" t="s">
        <v>170</v>
      </c>
      <c r="N3" s="109" t="s">
        <v>171</v>
      </c>
    </row>
    <row r="4" spans="1:14" x14ac:dyDescent="0.2">
      <c r="A4" s="104" t="s">
        <v>78</v>
      </c>
      <c r="B4" s="101">
        <f>C4+D4+E4</f>
        <v>177</v>
      </c>
      <c r="C4" s="103">
        <f>2+2+138</f>
        <v>142</v>
      </c>
      <c r="D4" s="103">
        <v>7</v>
      </c>
      <c r="E4" s="103">
        <v>28</v>
      </c>
      <c r="F4" s="101">
        <v>324</v>
      </c>
      <c r="G4" s="101">
        <v>914</v>
      </c>
      <c r="H4" s="101">
        <f>I4+J4+K4</f>
        <v>105</v>
      </c>
      <c r="I4" s="103">
        <f>5+14+6+1+54</f>
        <v>80</v>
      </c>
      <c r="J4" s="103">
        <f>2+1+1+5+3+1+6+2</f>
        <v>21</v>
      </c>
      <c r="K4" s="103">
        <f>3+1</f>
        <v>4</v>
      </c>
      <c r="L4" s="101">
        <f>M4+N4</f>
        <v>69</v>
      </c>
      <c r="M4" s="103">
        <f>37+12+7</f>
        <v>56</v>
      </c>
      <c r="N4" s="103">
        <v>13</v>
      </c>
    </row>
    <row r="5" spans="1:14" x14ac:dyDescent="0.2">
      <c r="A5" s="104" t="s">
        <v>130</v>
      </c>
      <c r="B5" s="101">
        <f t="shared" ref="B5:B21" si="0">C5+D5+E5</f>
        <v>142</v>
      </c>
      <c r="C5" s="45">
        <f>4+2+102</f>
        <v>108</v>
      </c>
      <c r="D5" s="45">
        <v>3</v>
      </c>
      <c r="E5" s="45">
        <v>31</v>
      </c>
      <c r="F5" s="48">
        <v>91</v>
      </c>
      <c r="G5" s="48">
        <v>265</v>
      </c>
      <c r="H5" s="101">
        <f t="shared" ref="H5:H21" si="1">I5+J5+K5</f>
        <v>37</v>
      </c>
      <c r="I5" s="45">
        <f>2+4+8+10</f>
        <v>24</v>
      </c>
      <c r="J5" s="45">
        <f>1+1+1+1+7+1</f>
        <v>12</v>
      </c>
      <c r="K5" s="45">
        <f>1</f>
        <v>1</v>
      </c>
      <c r="L5" s="101">
        <f t="shared" ref="L5:L21" si="2">M5+N5</f>
        <v>25</v>
      </c>
      <c r="M5" s="45">
        <f>12+6+3</f>
        <v>21</v>
      </c>
      <c r="N5" s="45">
        <v>4</v>
      </c>
    </row>
    <row r="6" spans="1:14" x14ac:dyDescent="0.2">
      <c r="A6" s="104" t="s">
        <v>46</v>
      </c>
      <c r="B6" s="101">
        <f t="shared" si="0"/>
        <v>65</v>
      </c>
      <c r="C6" s="45">
        <f>2+1+36</f>
        <v>39</v>
      </c>
      <c r="D6" s="45">
        <v>4</v>
      </c>
      <c r="E6" s="45">
        <v>22</v>
      </c>
      <c r="F6" s="48">
        <v>122</v>
      </c>
      <c r="G6" s="48">
        <v>519</v>
      </c>
      <c r="H6" s="101">
        <f t="shared" si="1"/>
        <v>46</v>
      </c>
      <c r="I6" s="45">
        <f>2+4+3+24</f>
        <v>33</v>
      </c>
      <c r="J6" s="45">
        <f>1+1+1+1+7</f>
        <v>11</v>
      </c>
      <c r="K6" s="45">
        <f>1+1</f>
        <v>2</v>
      </c>
      <c r="L6" s="101">
        <f t="shared" si="2"/>
        <v>26</v>
      </c>
      <c r="M6" s="45">
        <f>11+6+2</f>
        <v>19</v>
      </c>
      <c r="N6" s="45">
        <v>7</v>
      </c>
    </row>
    <row r="7" spans="1:14" x14ac:dyDescent="0.2">
      <c r="A7" s="104" t="s">
        <v>131</v>
      </c>
      <c r="B7" s="101">
        <f t="shared" si="0"/>
        <v>106</v>
      </c>
      <c r="C7" s="45">
        <f>1+1+64</f>
        <v>66</v>
      </c>
      <c r="D7" s="45">
        <v>10</v>
      </c>
      <c r="E7" s="45">
        <v>30</v>
      </c>
      <c r="F7" s="48">
        <v>68</v>
      </c>
      <c r="G7" s="48">
        <v>177</v>
      </c>
      <c r="H7" s="101">
        <f t="shared" si="1"/>
        <v>26</v>
      </c>
      <c r="I7" s="45">
        <f>2+3+4+8</f>
        <v>17</v>
      </c>
      <c r="J7" s="45">
        <f>2+1+5+1</f>
        <v>9</v>
      </c>
      <c r="L7" s="101">
        <f t="shared" si="2"/>
        <v>18</v>
      </c>
      <c r="M7" s="45">
        <f>8+5+1</f>
        <v>14</v>
      </c>
      <c r="N7" s="45">
        <v>4</v>
      </c>
    </row>
    <row r="8" spans="1:14" x14ac:dyDescent="0.2">
      <c r="A8" s="104" t="s">
        <v>52</v>
      </c>
      <c r="B8" s="101">
        <f t="shared" si="0"/>
        <v>13</v>
      </c>
      <c r="C8" s="45">
        <f>1+10</f>
        <v>11</v>
      </c>
      <c r="E8" s="45">
        <v>2</v>
      </c>
      <c r="F8" s="48">
        <v>22</v>
      </c>
      <c r="G8" s="48">
        <v>5</v>
      </c>
      <c r="H8" s="101">
        <f t="shared" si="1"/>
        <v>4</v>
      </c>
      <c r="I8" s="45">
        <v>3</v>
      </c>
      <c r="J8" s="45">
        <v>1</v>
      </c>
      <c r="L8" s="101">
        <f t="shared" si="2"/>
        <v>2</v>
      </c>
      <c r="M8" s="45">
        <v>2</v>
      </c>
    </row>
    <row r="9" spans="1:14" x14ac:dyDescent="0.2">
      <c r="A9" s="104" t="s">
        <v>44</v>
      </c>
      <c r="B9" s="101">
        <f t="shared" si="0"/>
        <v>184</v>
      </c>
      <c r="C9" s="45">
        <f>6+3+124</f>
        <v>133</v>
      </c>
      <c r="D9" s="45">
        <v>4</v>
      </c>
      <c r="E9" s="45">
        <v>47</v>
      </c>
      <c r="F9" s="48">
        <v>122</v>
      </c>
      <c r="G9" s="48">
        <v>382</v>
      </c>
      <c r="H9" s="101">
        <f t="shared" si="1"/>
        <v>69</v>
      </c>
      <c r="I9" s="45">
        <f>5+10+6+1+25</f>
        <v>47</v>
      </c>
      <c r="J9" s="45">
        <v>21</v>
      </c>
      <c r="K9" s="45">
        <f>1</f>
        <v>1</v>
      </c>
      <c r="L9" s="101">
        <f t="shared" si="2"/>
        <v>40</v>
      </c>
      <c r="M9" s="45">
        <f>17+5+4</f>
        <v>26</v>
      </c>
      <c r="N9" s="45">
        <v>14</v>
      </c>
    </row>
    <row r="10" spans="1:14" x14ac:dyDescent="0.2">
      <c r="A10" s="105" t="s">
        <v>132</v>
      </c>
      <c r="B10" s="101">
        <f t="shared" si="0"/>
        <v>10</v>
      </c>
      <c r="C10" s="45">
        <v>5</v>
      </c>
      <c r="E10" s="45">
        <v>5</v>
      </c>
      <c r="F10" s="48">
        <v>5</v>
      </c>
      <c r="G10" s="48">
        <v>8</v>
      </c>
      <c r="H10" s="101">
        <f t="shared" si="1"/>
        <v>1</v>
      </c>
      <c r="I10" s="45">
        <v>1</v>
      </c>
      <c r="L10" s="101">
        <f t="shared" si="2"/>
        <v>0</v>
      </c>
    </row>
    <row r="11" spans="1:14" x14ac:dyDescent="0.2">
      <c r="A11" s="105" t="s">
        <v>133</v>
      </c>
      <c r="B11" s="101">
        <f t="shared" si="0"/>
        <v>3</v>
      </c>
      <c r="C11" s="45">
        <v>3</v>
      </c>
      <c r="F11" s="48">
        <v>4</v>
      </c>
      <c r="G11" s="48">
        <v>3</v>
      </c>
      <c r="H11" s="101">
        <f t="shared" si="1"/>
        <v>3</v>
      </c>
      <c r="I11" s="45">
        <v>2</v>
      </c>
      <c r="J11" s="45">
        <v>1</v>
      </c>
      <c r="L11" s="101">
        <f t="shared" si="2"/>
        <v>1</v>
      </c>
      <c r="M11" s="45">
        <v>1</v>
      </c>
    </row>
    <row r="12" spans="1:14" x14ac:dyDescent="0.2">
      <c r="A12" s="104" t="s">
        <v>45</v>
      </c>
      <c r="B12" s="101">
        <f t="shared" si="0"/>
        <v>123</v>
      </c>
      <c r="C12" s="45">
        <f>4+2+86</f>
        <v>92</v>
      </c>
      <c r="D12" s="45">
        <v>4</v>
      </c>
      <c r="E12" s="45">
        <v>27</v>
      </c>
      <c r="F12" s="48">
        <v>117</v>
      </c>
      <c r="G12" s="48">
        <v>530</v>
      </c>
      <c r="H12" s="101">
        <f t="shared" si="1"/>
        <v>56</v>
      </c>
      <c r="I12" s="45">
        <f>2+7+9+22</f>
        <v>40</v>
      </c>
      <c r="J12" s="45">
        <f>1+2+2+1+5+2</f>
        <v>13</v>
      </c>
      <c r="K12" s="45">
        <f>1+2</f>
        <v>3</v>
      </c>
      <c r="L12" s="101">
        <f t="shared" si="2"/>
        <v>38</v>
      </c>
      <c r="M12" s="45">
        <f>16+10+3</f>
        <v>29</v>
      </c>
      <c r="N12" s="45">
        <v>9</v>
      </c>
    </row>
    <row r="13" spans="1:14" x14ac:dyDescent="0.2">
      <c r="A13" s="104" t="s">
        <v>39</v>
      </c>
      <c r="B13" s="101">
        <f t="shared" si="0"/>
        <v>198</v>
      </c>
      <c r="C13" s="45">
        <f>6+2+1+139</f>
        <v>148</v>
      </c>
      <c r="D13" s="45">
        <v>19</v>
      </c>
      <c r="E13" s="45">
        <v>31</v>
      </c>
      <c r="F13" s="48">
        <v>312</v>
      </c>
      <c r="G13" s="48">
        <v>565</v>
      </c>
      <c r="H13" s="101">
        <f t="shared" si="1"/>
        <v>297</v>
      </c>
      <c r="I13" s="45">
        <f>8+20+9+5+78+150</f>
        <v>270</v>
      </c>
      <c r="J13" s="45">
        <f>1+2+1+3+6+3+7+1+1</f>
        <v>25</v>
      </c>
      <c r="K13" s="45">
        <f>1+1</f>
        <v>2</v>
      </c>
      <c r="L13" s="101">
        <f t="shared" si="2"/>
        <v>182</v>
      </c>
      <c r="M13" s="45">
        <f>127+24+7</f>
        <v>158</v>
      </c>
      <c r="N13" s="45">
        <v>24</v>
      </c>
    </row>
    <row r="14" spans="1:14" x14ac:dyDescent="0.2">
      <c r="A14" s="105" t="s">
        <v>134</v>
      </c>
      <c r="B14" s="101">
        <f t="shared" si="0"/>
        <v>7</v>
      </c>
      <c r="C14" s="45">
        <f>1+5</f>
        <v>6</v>
      </c>
      <c r="E14" s="45">
        <v>1</v>
      </c>
      <c r="F14" s="48">
        <v>7</v>
      </c>
      <c r="G14" s="48">
        <v>33</v>
      </c>
      <c r="H14" s="101">
        <f t="shared" si="1"/>
        <v>6</v>
      </c>
      <c r="I14" s="45">
        <f>1+2+1</f>
        <v>4</v>
      </c>
      <c r="J14" s="45">
        <v>1</v>
      </c>
      <c r="K14" s="45">
        <v>1</v>
      </c>
      <c r="L14" s="101">
        <f t="shared" si="2"/>
        <v>2</v>
      </c>
      <c r="M14" s="45">
        <v>1</v>
      </c>
      <c r="N14" s="45">
        <v>1</v>
      </c>
    </row>
    <row r="15" spans="1:14" x14ac:dyDescent="0.2">
      <c r="A15" s="105" t="s">
        <v>135</v>
      </c>
      <c r="B15" s="101">
        <f t="shared" si="0"/>
        <v>11</v>
      </c>
      <c r="C15" s="45">
        <v>7</v>
      </c>
      <c r="E15" s="45">
        <v>4</v>
      </c>
      <c r="F15" s="48">
        <v>2</v>
      </c>
      <c r="G15" s="48">
        <v>9</v>
      </c>
      <c r="H15" s="101">
        <f t="shared" si="1"/>
        <v>1</v>
      </c>
      <c r="I15" s="45">
        <v>1</v>
      </c>
      <c r="L15" s="101">
        <f t="shared" si="2"/>
        <v>1</v>
      </c>
      <c r="M15" s="45">
        <v>1</v>
      </c>
    </row>
    <row r="16" spans="1:14" x14ac:dyDescent="0.2">
      <c r="A16" s="105" t="s">
        <v>136</v>
      </c>
      <c r="B16" s="101">
        <f t="shared" si="0"/>
        <v>0</v>
      </c>
      <c r="F16" s="48"/>
      <c r="G16" s="48">
        <v>2</v>
      </c>
      <c r="H16" s="101">
        <f t="shared" si="1"/>
        <v>0</v>
      </c>
      <c r="L16" s="101">
        <f t="shared" si="2"/>
        <v>0</v>
      </c>
    </row>
    <row r="17" spans="1:14" x14ac:dyDescent="0.2">
      <c r="A17" s="106" t="s">
        <v>48</v>
      </c>
      <c r="B17" s="101">
        <f t="shared" si="0"/>
        <v>139</v>
      </c>
      <c r="C17" s="45">
        <f>2+2+91</f>
        <v>95</v>
      </c>
      <c r="D17" s="45">
        <v>3</v>
      </c>
      <c r="E17" s="45">
        <v>41</v>
      </c>
      <c r="F17" s="48">
        <v>102</v>
      </c>
      <c r="G17" s="48">
        <v>273</v>
      </c>
      <c r="H17" s="101">
        <f t="shared" si="1"/>
        <v>57</v>
      </c>
      <c r="I17" s="45">
        <f>3+8+8+20</f>
        <v>39</v>
      </c>
      <c r="J17" s="45">
        <f>2+2+2+2+5+2</f>
        <v>15</v>
      </c>
      <c r="K17" s="45">
        <f>1+2</f>
        <v>3</v>
      </c>
      <c r="L17" s="101">
        <f t="shared" si="2"/>
        <v>30</v>
      </c>
      <c r="M17" s="45">
        <f>16+7+2</f>
        <v>25</v>
      </c>
      <c r="N17" s="45">
        <v>5</v>
      </c>
    </row>
    <row r="18" spans="1:14" x14ac:dyDescent="0.2">
      <c r="A18" s="104" t="s">
        <v>137</v>
      </c>
      <c r="B18" s="101">
        <f t="shared" si="0"/>
        <v>184</v>
      </c>
      <c r="C18" s="45">
        <f>6+3+109</f>
        <v>118</v>
      </c>
      <c r="D18" s="45">
        <v>12</v>
      </c>
      <c r="E18" s="45">
        <v>54</v>
      </c>
      <c r="F18" s="48">
        <v>232</v>
      </c>
      <c r="G18" s="48">
        <v>606</v>
      </c>
      <c r="H18" s="101">
        <f t="shared" si="1"/>
        <v>79</v>
      </c>
      <c r="I18" s="45">
        <f>3+17+8+25</f>
        <v>53</v>
      </c>
      <c r="J18" s="45">
        <f>2+1+1+2+14+3</f>
        <v>23</v>
      </c>
      <c r="K18" s="45">
        <v>3</v>
      </c>
      <c r="L18" s="101">
        <f t="shared" si="2"/>
        <v>40</v>
      </c>
      <c r="M18" s="45">
        <f>13+11+4</f>
        <v>28</v>
      </c>
      <c r="N18" s="45">
        <v>12</v>
      </c>
    </row>
    <row r="19" spans="1:14" x14ac:dyDescent="0.2">
      <c r="A19" s="104" t="s">
        <v>42</v>
      </c>
      <c r="B19" s="101">
        <f t="shared" si="0"/>
        <v>186</v>
      </c>
      <c r="C19" s="45">
        <f>8+2+133</f>
        <v>143</v>
      </c>
      <c r="D19" s="45">
        <v>12</v>
      </c>
      <c r="E19" s="45">
        <v>31</v>
      </c>
      <c r="F19" s="48">
        <v>209</v>
      </c>
      <c r="G19" s="48">
        <v>510</v>
      </c>
      <c r="H19" s="101">
        <f t="shared" si="1"/>
        <v>63</v>
      </c>
      <c r="I19" s="45">
        <f>2+7+7+1+23</f>
        <v>40</v>
      </c>
      <c r="J19" s="45">
        <f>1+2+1+2+3+2+6+2</f>
        <v>19</v>
      </c>
      <c r="K19" s="45">
        <f>2+2</f>
        <v>4</v>
      </c>
      <c r="L19" s="101">
        <f t="shared" si="2"/>
        <v>28</v>
      </c>
      <c r="M19" s="45">
        <f>10+7+3</f>
        <v>20</v>
      </c>
      <c r="N19" s="45">
        <v>8</v>
      </c>
    </row>
    <row r="20" spans="1:14" x14ac:dyDescent="0.2">
      <c r="A20" s="104" t="s">
        <v>47</v>
      </c>
      <c r="B20" s="101">
        <f t="shared" si="0"/>
        <v>79</v>
      </c>
      <c r="C20" s="45">
        <f>2+1+55</f>
        <v>58</v>
      </c>
      <c r="D20" s="45">
        <v>3</v>
      </c>
      <c r="E20" s="45">
        <v>18</v>
      </c>
      <c r="F20" s="48">
        <v>127</v>
      </c>
      <c r="G20" s="48">
        <v>384</v>
      </c>
      <c r="H20" s="101">
        <f t="shared" si="1"/>
        <v>46</v>
      </c>
      <c r="I20" s="45">
        <f>1+7+5+21</f>
        <v>34</v>
      </c>
      <c r="J20" s="45">
        <f>2+1+1+6+1</f>
        <v>11</v>
      </c>
      <c r="K20" s="45">
        <f>1</f>
        <v>1</v>
      </c>
      <c r="L20" s="101">
        <f t="shared" si="2"/>
        <v>23</v>
      </c>
      <c r="M20" s="45">
        <f>10+5+2</f>
        <v>17</v>
      </c>
      <c r="N20" s="45">
        <v>6</v>
      </c>
    </row>
    <row r="21" spans="1:14" ht="12" thickBot="1" x14ac:dyDescent="0.25">
      <c r="A21" s="107" t="s">
        <v>138</v>
      </c>
      <c r="B21" s="101">
        <f t="shared" si="0"/>
        <v>182</v>
      </c>
      <c r="C21" s="45">
        <f>4+1+122</f>
        <v>127</v>
      </c>
      <c r="D21" s="45">
        <v>11</v>
      </c>
      <c r="E21" s="45">
        <v>44</v>
      </c>
      <c r="F21" s="48">
        <v>197</v>
      </c>
      <c r="G21" s="48">
        <v>346</v>
      </c>
      <c r="H21" s="101">
        <f t="shared" si="1"/>
        <v>57</v>
      </c>
      <c r="I21" s="45">
        <f>2+11+6+17</f>
        <v>36</v>
      </c>
      <c r="J21" s="45">
        <f>2+1+2+3+2+2+5+1</f>
        <v>18</v>
      </c>
      <c r="K21" s="45">
        <f>2+1</f>
        <v>3</v>
      </c>
      <c r="L21" s="101">
        <f t="shared" si="2"/>
        <v>44</v>
      </c>
      <c r="M21" s="45">
        <f>24+4+4</f>
        <v>32</v>
      </c>
      <c r="N21" s="45">
        <v>12</v>
      </c>
    </row>
    <row r="22" spans="1:14" ht="12.75" thickTop="1" thickBot="1" x14ac:dyDescent="0.25">
      <c r="A22" s="108" t="s">
        <v>3</v>
      </c>
      <c r="B22" s="101">
        <f>SUM(B4:B21)</f>
        <v>1809</v>
      </c>
      <c r="C22" s="101">
        <f t="shared" ref="C22:N22" si="3">SUM(C4:C21)</f>
        <v>1301</v>
      </c>
      <c r="D22" s="101">
        <f t="shared" si="3"/>
        <v>92</v>
      </c>
      <c r="E22" s="101">
        <f t="shared" si="3"/>
        <v>416</v>
      </c>
      <c r="F22" s="101">
        <f t="shared" si="3"/>
        <v>2063</v>
      </c>
      <c r="G22" s="101">
        <f t="shared" si="3"/>
        <v>5531</v>
      </c>
      <c r="H22" s="101">
        <f t="shared" si="3"/>
        <v>953</v>
      </c>
      <c r="I22" s="101">
        <f t="shared" si="3"/>
        <v>724</v>
      </c>
      <c r="J22" s="101">
        <f t="shared" si="3"/>
        <v>201</v>
      </c>
      <c r="K22" s="101">
        <f t="shared" si="3"/>
        <v>28</v>
      </c>
      <c r="L22" s="101">
        <f t="shared" si="3"/>
        <v>569</v>
      </c>
      <c r="M22" s="101">
        <f t="shared" si="3"/>
        <v>450</v>
      </c>
      <c r="N22" s="101">
        <f t="shared" si="3"/>
        <v>119</v>
      </c>
    </row>
    <row r="23" spans="1:14" ht="12" thickTop="1" x14ac:dyDescent="0.2">
      <c r="A23" s="94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</row>
    <row r="24" spans="1:14" x14ac:dyDescent="0.2">
      <c r="A24" s="50" t="s">
        <v>158</v>
      </c>
    </row>
    <row r="25" spans="1:14" x14ac:dyDescent="0.2">
      <c r="A25" s="50" t="s">
        <v>150</v>
      </c>
    </row>
    <row r="26" spans="1:14" x14ac:dyDescent="0.2">
      <c r="A26" s="50" t="s">
        <v>151</v>
      </c>
    </row>
    <row r="27" spans="1:14" x14ac:dyDescent="0.2">
      <c r="A27" s="50" t="s">
        <v>152</v>
      </c>
    </row>
    <row r="28" spans="1:14" x14ac:dyDescent="0.2">
      <c r="A28" s="50" t="s">
        <v>153</v>
      </c>
    </row>
    <row r="29" spans="1:14" x14ac:dyDescent="0.2">
      <c r="A29" s="50" t="s">
        <v>154</v>
      </c>
    </row>
    <row r="30" spans="1:14" x14ac:dyDescent="0.2">
      <c r="A30" s="50" t="s">
        <v>155</v>
      </c>
    </row>
    <row r="31" spans="1:14" x14ac:dyDescent="0.2">
      <c r="A31" s="50" t="s">
        <v>156</v>
      </c>
    </row>
    <row r="32" spans="1:14" x14ac:dyDescent="0.2">
      <c r="A32" s="50" t="s">
        <v>157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workbookViewId="0">
      <selection activeCell="A45" sqref="A45"/>
    </sheetView>
  </sheetViews>
  <sheetFormatPr baseColWidth="10" defaultColWidth="11.42578125" defaultRowHeight="11.25" x14ac:dyDescent="0.2"/>
  <cols>
    <col min="1" max="1" width="83" style="45" customWidth="1"/>
    <col min="2" max="2" width="12.7109375" style="45" customWidth="1"/>
    <col min="3" max="3" width="13.140625" style="45" customWidth="1"/>
    <col min="4" max="16384" width="11.42578125" style="45"/>
  </cols>
  <sheetData>
    <row r="1" spans="1:18" x14ac:dyDescent="0.2">
      <c r="A1" s="48" t="s">
        <v>97</v>
      </c>
    </row>
    <row r="2" spans="1:18" ht="12" thickBo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x14ac:dyDescent="0.2">
      <c r="A3" s="127"/>
      <c r="B3" s="125" t="s">
        <v>54</v>
      </c>
      <c r="C3" s="126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x14ac:dyDescent="0.2">
      <c r="A4" s="128"/>
      <c r="B4" s="52" t="s">
        <v>55</v>
      </c>
      <c r="C4" s="55" t="s">
        <v>56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8" x14ac:dyDescent="0.2">
      <c r="A5" s="56" t="s">
        <v>57</v>
      </c>
      <c r="B5" s="57">
        <v>35820.480000000003</v>
      </c>
      <c r="C5" s="58">
        <v>5.9695999446711168E-2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x14ac:dyDescent="0.2">
      <c r="A6" s="59" t="s">
        <v>58</v>
      </c>
      <c r="B6" s="57">
        <v>99921.38</v>
      </c>
      <c r="C6" s="58">
        <v>0.16652224216969219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x14ac:dyDescent="0.2">
      <c r="A7" s="59" t="s">
        <v>59</v>
      </c>
      <c r="B7" s="57">
        <v>20676.41</v>
      </c>
      <c r="C7" s="58">
        <v>3.4457912342882424E-2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1:18" x14ac:dyDescent="0.2">
      <c r="A8" s="59" t="s">
        <v>60</v>
      </c>
      <c r="B8" s="57">
        <v>23244.59</v>
      </c>
      <c r="C8" s="58">
        <v>3.8737868163101881E-2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</row>
    <row r="9" spans="1:18" x14ac:dyDescent="0.2">
      <c r="A9" s="59" t="s">
        <v>61</v>
      </c>
      <c r="B9" s="57">
        <v>74974.899999999994</v>
      </c>
      <c r="C9" s="58">
        <v>0.12494811875545007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</row>
    <row r="10" spans="1:18" x14ac:dyDescent="0.2">
      <c r="A10" s="59" t="s">
        <v>62</v>
      </c>
      <c r="B10" s="57">
        <v>67870.960000000006</v>
      </c>
      <c r="C10" s="58">
        <v>0.11310917080418117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</row>
    <row r="11" spans="1:18" x14ac:dyDescent="0.2">
      <c r="A11" s="59" t="s">
        <v>63</v>
      </c>
      <c r="B11" s="57">
        <v>58728.04</v>
      </c>
      <c r="C11" s="58">
        <v>9.7872196110896079E-2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</row>
    <row r="12" spans="1:18" x14ac:dyDescent="0.2">
      <c r="A12" s="59" t="s">
        <v>64</v>
      </c>
      <c r="B12" s="57">
        <v>57363.83</v>
      </c>
      <c r="C12" s="58">
        <v>9.5598695604895104E-2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</row>
    <row r="13" spans="1:18" x14ac:dyDescent="0.2">
      <c r="A13" s="59" t="s">
        <v>65</v>
      </c>
      <c r="B13" s="57">
        <v>11548</v>
      </c>
      <c r="C13" s="58">
        <v>1.9245119038344E-2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</row>
    <row r="14" spans="1:18" x14ac:dyDescent="0.2">
      <c r="A14" s="59" t="s">
        <v>66</v>
      </c>
      <c r="B14" s="57">
        <v>17123.919999999998</v>
      </c>
      <c r="C14" s="58">
        <v>2.8537571770270137E-2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</row>
    <row r="15" spans="1:18" x14ac:dyDescent="0.2">
      <c r="A15" s="59" t="s">
        <v>67</v>
      </c>
      <c r="B15" s="57">
        <v>25904.84</v>
      </c>
      <c r="C15" s="58">
        <v>4.3171261644376097E-2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</row>
    <row r="16" spans="1:18" x14ac:dyDescent="0.2">
      <c r="A16" s="59" t="s">
        <v>68</v>
      </c>
      <c r="B16" s="57">
        <v>56428.42</v>
      </c>
      <c r="C16" s="58">
        <v>9.4039804299070953E-2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</row>
    <row r="17" spans="1:18" x14ac:dyDescent="0.2">
      <c r="A17" s="59" t="s">
        <v>69</v>
      </c>
      <c r="B17" s="57">
        <v>50442.48</v>
      </c>
      <c r="C17" s="58">
        <v>8.4064039850128724E-2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</row>
    <row r="18" spans="1:18" x14ac:dyDescent="0.2">
      <c r="A18" s="60" t="s">
        <v>70</v>
      </c>
      <c r="B18" s="53">
        <v>600048.25</v>
      </c>
      <c r="C18" s="61">
        <v>1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</row>
    <row r="19" spans="1:18" ht="12" thickBot="1" x14ac:dyDescent="0.25">
      <c r="A19" s="62" t="s">
        <v>71</v>
      </c>
      <c r="B19" s="63" t="s">
        <v>72</v>
      </c>
      <c r="C19" s="64">
        <v>2.2794628659025366E-2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</row>
    <row r="20" spans="1:18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</row>
    <row r="21" spans="1:18" s="50" customFormat="1" x14ac:dyDescent="0.2">
      <c r="A21" s="54" t="s">
        <v>73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</row>
    <row r="22" spans="1:18" s="50" customFormat="1" x14ac:dyDescent="0.2"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</row>
    <row r="23" spans="1:18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</row>
    <row r="24" spans="1:18" ht="12" thickBo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</row>
    <row r="25" spans="1:18" ht="33.75" x14ac:dyDescent="0.2">
      <c r="A25" s="65"/>
      <c r="B25" s="76" t="s">
        <v>54</v>
      </c>
      <c r="C25" s="77" t="s">
        <v>39</v>
      </c>
      <c r="D25" s="77" t="s">
        <v>75</v>
      </c>
      <c r="E25" s="77" t="s">
        <v>76</v>
      </c>
      <c r="F25" s="77" t="s">
        <v>48</v>
      </c>
      <c r="G25" s="77" t="s">
        <v>45</v>
      </c>
      <c r="H25" s="77" t="s">
        <v>77</v>
      </c>
      <c r="I25" s="77" t="s">
        <v>47</v>
      </c>
      <c r="J25" s="77" t="s">
        <v>46</v>
      </c>
      <c r="K25" s="77" t="s">
        <v>43</v>
      </c>
      <c r="L25" s="77" t="s">
        <v>42</v>
      </c>
      <c r="M25" s="77" t="s">
        <v>78</v>
      </c>
      <c r="N25" s="77" t="s">
        <v>79</v>
      </c>
      <c r="O25" s="77" t="s">
        <v>52</v>
      </c>
      <c r="P25" s="78" t="s">
        <v>80</v>
      </c>
      <c r="Q25" s="51"/>
      <c r="R25" s="51"/>
    </row>
    <row r="26" spans="1:18" x14ac:dyDescent="0.2">
      <c r="A26" s="69" t="s">
        <v>57</v>
      </c>
      <c r="B26" s="73">
        <v>5.9695999446711168E-2</v>
      </c>
      <c r="C26" s="66">
        <v>5.9520796807788955E-2</v>
      </c>
      <c r="D26" s="66">
        <v>7.0761102835824763E-2</v>
      </c>
      <c r="E26" s="66">
        <v>6.3989083130486096E-2</v>
      </c>
      <c r="F26" s="66">
        <v>6.5792190312720059E-2</v>
      </c>
      <c r="G26" s="66">
        <v>4.6207690687419326E-2</v>
      </c>
      <c r="H26" s="66">
        <v>4.7452549470632086E-2</v>
      </c>
      <c r="I26" s="66">
        <v>5.755850803459428E-2</v>
      </c>
      <c r="J26" s="66">
        <v>6.623238970485773E-2</v>
      </c>
      <c r="K26" s="66">
        <v>6.6752508682445019E-2</v>
      </c>
      <c r="L26" s="66">
        <v>6.6673383792497889E-2</v>
      </c>
      <c r="M26" s="66">
        <v>4.9799385805231841E-2</v>
      </c>
      <c r="N26" s="66">
        <v>7.0914780029900024E-2</v>
      </c>
      <c r="O26" s="66">
        <v>5.7404128471210514E-2</v>
      </c>
      <c r="P26" s="58">
        <v>4.5634763301879308E-2</v>
      </c>
      <c r="Q26" s="51"/>
      <c r="R26" s="51"/>
    </row>
    <row r="27" spans="1:18" x14ac:dyDescent="0.2">
      <c r="A27" s="70" t="s">
        <v>58</v>
      </c>
      <c r="B27" s="73">
        <v>0.16652224216969219</v>
      </c>
      <c r="C27" s="66">
        <v>0.16513087599220883</v>
      </c>
      <c r="D27" s="66">
        <v>0.16771029888524283</v>
      </c>
      <c r="E27" s="66">
        <v>0.15922311125604818</v>
      </c>
      <c r="F27" s="66">
        <v>0.13392858139303895</v>
      </c>
      <c r="G27" s="66">
        <v>0.21330239916210089</v>
      </c>
      <c r="H27" s="66">
        <v>0.16804998811506236</v>
      </c>
      <c r="I27" s="66">
        <v>0.19991613216960707</v>
      </c>
      <c r="J27" s="66">
        <v>0.15398644129204872</v>
      </c>
      <c r="K27" s="66">
        <v>0.1624106780981493</v>
      </c>
      <c r="L27" s="66">
        <v>0.1403785604911055</v>
      </c>
      <c r="M27" s="66">
        <v>0.17789220192238814</v>
      </c>
      <c r="N27" s="66">
        <v>0.15869966563666826</v>
      </c>
      <c r="O27" s="66">
        <v>0.12648093775915009</v>
      </c>
      <c r="P27" s="58">
        <v>0.18564441873807647</v>
      </c>
      <c r="Q27" s="51"/>
      <c r="R27" s="51"/>
    </row>
    <row r="28" spans="1:18" x14ac:dyDescent="0.2">
      <c r="A28" s="70" t="s">
        <v>59</v>
      </c>
      <c r="B28" s="73">
        <v>3.4457912342882424E-2</v>
      </c>
      <c r="C28" s="66">
        <v>3.1185515898073338E-2</v>
      </c>
      <c r="D28" s="66">
        <v>3.3729642075696863E-2</v>
      </c>
      <c r="E28" s="66">
        <v>3.6229746010670985E-2</v>
      </c>
      <c r="F28" s="66">
        <v>3.4357802823754717E-2</v>
      </c>
      <c r="G28" s="66">
        <v>4.2662391596975449E-2</v>
      </c>
      <c r="H28" s="66">
        <v>3.7212985489602196E-2</v>
      </c>
      <c r="I28" s="66">
        <v>3.4320865009274774E-2</v>
      </c>
      <c r="J28" s="66">
        <v>3.7536405061174435E-2</v>
      </c>
      <c r="K28" s="66">
        <v>4.0363534649241133E-2</v>
      </c>
      <c r="L28" s="66">
        <v>3.457474755642926E-2</v>
      </c>
      <c r="M28" s="66">
        <v>3.0801291857668028E-2</v>
      </c>
      <c r="N28" s="66">
        <v>4.0248223923440303E-2</v>
      </c>
      <c r="O28" s="66">
        <v>5.9309231907120598E-2</v>
      </c>
      <c r="P28" s="58">
        <v>4.4057009053720612E-2</v>
      </c>
      <c r="Q28" s="51"/>
      <c r="R28" s="51"/>
    </row>
    <row r="29" spans="1:18" x14ac:dyDescent="0.2">
      <c r="A29" s="70" t="s">
        <v>60</v>
      </c>
      <c r="B29" s="73">
        <v>3.8737868163101881E-2</v>
      </c>
      <c r="C29" s="66">
        <v>2.2065692775271085E-2</v>
      </c>
      <c r="D29" s="66">
        <v>6.7492604691285193E-2</v>
      </c>
      <c r="E29" s="66">
        <v>6.7697272982559661E-2</v>
      </c>
      <c r="F29" s="66">
        <v>5.528988070858365E-2</v>
      </c>
      <c r="G29" s="66">
        <v>4.2548709883242386E-2</v>
      </c>
      <c r="H29" s="66">
        <v>4.8725887548962239E-2</v>
      </c>
      <c r="I29" s="66">
        <v>4.5956524231669245E-2</v>
      </c>
      <c r="J29" s="66">
        <v>4.3190947158663361E-2</v>
      </c>
      <c r="K29" s="66">
        <v>5.7679530476604367E-2</v>
      </c>
      <c r="L29" s="66">
        <v>4.5770653972740286E-2</v>
      </c>
      <c r="M29" s="66">
        <v>5.0058480393502421E-2</v>
      </c>
      <c r="N29" s="66">
        <v>4.4604946431140907E-2</v>
      </c>
      <c r="O29" s="66">
        <v>5.5812806777685631E-2</v>
      </c>
      <c r="P29" s="58">
        <v>5.6019021675754593E-2</v>
      </c>
      <c r="Q29" s="51"/>
      <c r="R29" s="51"/>
    </row>
    <row r="30" spans="1:18" x14ac:dyDescent="0.2">
      <c r="A30" s="70" t="s">
        <v>61</v>
      </c>
      <c r="B30" s="73">
        <v>0.12494811875545007</v>
      </c>
      <c r="C30" s="66">
        <v>0.12502067483643861</v>
      </c>
      <c r="D30" s="66">
        <v>0.12838404020184843</v>
      </c>
      <c r="E30" s="66">
        <v>0.1000117761394709</v>
      </c>
      <c r="F30" s="66">
        <v>0.1115501411207746</v>
      </c>
      <c r="G30" s="66">
        <v>0.10058885762167613</v>
      </c>
      <c r="H30" s="66">
        <v>0.11840865735219749</v>
      </c>
      <c r="I30" s="66">
        <v>0.1206045058513046</v>
      </c>
      <c r="J30" s="66">
        <v>0.11037091357542989</v>
      </c>
      <c r="K30" s="66">
        <v>0.12428535653185682</v>
      </c>
      <c r="L30" s="66">
        <v>0.16654659443882522</v>
      </c>
      <c r="M30" s="66">
        <v>0.12199840258478653</v>
      </c>
      <c r="N30" s="66">
        <v>0.13804693768550336</v>
      </c>
      <c r="O30" s="66">
        <v>0.10567720823901201</v>
      </c>
      <c r="P30" s="58">
        <v>8.8539650258644423E-2</v>
      </c>
      <c r="Q30" s="51"/>
      <c r="R30" s="51"/>
    </row>
    <row r="31" spans="1:18" x14ac:dyDescent="0.2">
      <c r="A31" s="70" t="s">
        <v>62</v>
      </c>
      <c r="B31" s="73">
        <v>0.11310917080418117</v>
      </c>
      <c r="C31" s="66">
        <v>0.13670755898092896</v>
      </c>
      <c r="D31" s="66">
        <v>8.6188512805577114E-2</v>
      </c>
      <c r="E31" s="66">
        <v>9.6900157748505647E-2</v>
      </c>
      <c r="F31" s="66">
        <v>0.10744876629529229</v>
      </c>
      <c r="G31" s="66">
        <v>0.10326157274725004</v>
      </c>
      <c r="H31" s="66">
        <v>9.3233463944196682E-2</v>
      </c>
      <c r="I31" s="66">
        <v>9.0709954013007535E-2</v>
      </c>
      <c r="J31" s="66">
        <v>9.6780416515704681E-2</v>
      </c>
      <c r="K31" s="66">
        <v>9.6283866375353147E-2</v>
      </c>
      <c r="L31" s="66">
        <v>9.9118398856301221E-2</v>
      </c>
      <c r="M31" s="66">
        <v>8.9756189983952211E-2</v>
      </c>
      <c r="N31" s="66">
        <v>0.10041582019008226</v>
      </c>
      <c r="O31" s="66">
        <v>0.10198354887150636</v>
      </c>
      <c r="P31" s="58">
        <v>0.12169581177963215</v>
      </c>
      <c r="Q31" s="51"/>
      <c r="R31" s="51"/>
    </row>
    <row r="32" spans="1:18" x14ac:dyDescent="0.2">
      <c r="A32" s="70" t="s">
        <v>63</v>
      </c>
      <c r="B32" s="73">
        <v>9.7872196110896079E-2</v>
      </c>
      <c r="C32" s="66">
        <v>0.10379851538786318</v>
      </c>
      <c r="D32" s="66">
        <v>9.2073290378632405E-2</v>
      </c>
      <c r="E32" s="66">
        <v>0.10844724483629224</v>
      </c>
      <c r="F32" s="66">
        <v>0.10344113718010671</v>
      </c>
      <c r="G32" s="66">
        <v>0.10314038052990698</v>
      </c>
      <c r="H32" s="66">
        <v>9.4525319630752155E-2</v>
      </c>
      <c r="I32" s="66">
        <v>9.3852191367787316E-2</v>
      </c>
      <c r="J32" s="66">
        <v>9.4766816002898477E-2</v>
      </c>
      <c r="K32" s="66">
        <v>8.3656254351150261E-2</v>
      </c>
      <c r="L32" s="66">
        <v>8.5407678366717879E-2</v>
      </c>
      <c r="M32" s="66">
        <v>9.1277952255629291E-2</v>
      </c>
      <c r="N32" s="66">
        <v>9.8500852370418959E-2</v>
      </c>
      <c r="O32" s="66">
        <v>0.10323419324472734</v>
      </c>
      <c r="P32" s="58">
        <v>9.766217168018583E-2</v>
      </c>
      <c r="Q32" s="51"/>
      <c r="R32" s="51"/>
    </row>
    <row r="33" spans="1:18" x14ac:dyDescent="0.2">
      <c r="A33" s="70" t="s">
        <v>64</v>
      </c>
      <c r="B33" s="73">
        <v>9.5598695604895104E-2</v>
      </c>
      <c r="C33" s="66">
        <v>0.1260763340219242</v>
      </c>
      <c r="D33" s="66">
        <v>7.1745292856693302E-2</v>
      </c>
      <c r="E33" s="66">
        <v>7.4840601540733145E-2</v>
      </c>
      <c r="F33" s="66">
        <v>8.4332636564621477E-2</v>
      </c>
      <c r="G33" s="66">
        <v>7.9136469605845361E-2</v>
      </c>
      <c r="H33" s="66">
        <v>8.5678953155838136E-2</v>
      </c>
      <c r="I33" s="66">
        <v>6.6051529004358164E-2</v>
      </c>
      <c r="J33" s="66">
        <v>9.0453948468548817E-2</v>
      </c>
      <c r="K33" s="66">
        <v>7.5184650097403716E-2</v>
      </c>
      <c r="L33" s="66">
        <v>6.7765925750390157E-2</v>
      </c>
      <c r="M33" s="66">
        <v>6.9628657869947902E-2</v>
      </c>
      <c r="N33" s="66">
        <v>6.4908190316389155E-2</v>
      </c>
      <c r="O33" s="66">
        <v>0.10361969652822914</v>
      </c>
      <c r="P33" s="58">
        <v>9.1159911748380271E-2</v>
      </c>
      <c r="Q33" s="51"/>
      <c r="R33" s="51"/>
    </row>
    <row r="34" spans="1:18" x14ac:dyDescent="0.2">
      <c r="A34" s="70" t="s">
        <v>65</v>
      </c>
      <c r="B34" s="73">
        <v>1.9245119038344E-2</v>
      </c>
      <c r="C34" s="66">
        <v>2.34800145420485E-2</v>
      </c>
      <c r="D34" s="66">
        <v>1.6250550714478763E-2</v>
      </c>
      <c r="E34" s="66">
        <v>1.7098048654867231E-2</v>
      </c>
      <c r="F34" s="66">
        <v>1.8949467714088973E-2</v>
      </c>
      <c r="G34" s="66">
        <v>1.2499526326192778E-2</v>
      </c>
      <c r="H34" s="66">
        <v>8.6672507008073007E-3</v>
      </c>
      <c r="I34" s="66">
        <v>1.6701404465440804E-2</v>
      </c>
      <c r="J34" s="66">
        <v>2.2323792536439898E-2</v>
      </c>
      <c r="K34" s="66">
        <v>1.580027534637328E-2</v>
      </c>
      <c r="L34" s="66">
        <v>2.0553540177565634E-2</v>
      </c>
      <c r="M34" s="66">
        <v>1.5992730622637102E-2</v>
      </c>
      <c r="N34" s="66">
        <v>1.7422256257423181E-2</v>
      </c>
      <c r="O34" s="66">
        <v>8.5169330075979995E-3</v>
      </c>
      <c r="P34" s="58">
        <v>1.0296799712669145E-2</v>
      </c>
      <c r="Q34" s="51"/>
      <c r="R34" s="51"/>
    </row>
    <row r="35" spans="1:18" x14ac:dyDescent="0.2">
      <c r="A35" s="70" t="s">
        <v>66</v>
      </c>
      <c r="B35" s="73">
        <v>2.8537571770270137E-2</v>
      </c>
      <c r="C35" s="66">
        <v>2.7758177987568858E-2</v>
      </c>
      <c r="D35" s="66">
        <v>2.0891978511954051E-2</v>
      </c>
      <c r="E35" s="66">
        <v>1.9968320890742013E-2</v>
      </c>
      <c r="F35" s="66">
        <v>2.6499345454058465E-2</v>
      </c>
      <c r="G35" s="66">
        <v>2.2732928881334383E-2</v>
      </c>
      <c r="H35" s="66">
        <v>4.0515180061855546E-2</v>
      </c>
      <c r="I35" s="66">
        <v>3.0364404119465956E-2</v>
      </c>
      <c r="J35" s="66">
        <v>3.2302959783729546E-2</v>
      </c>
      <c r="K35" s="66">
        <v>2.727701200290784E-2</v>
      </c>
      <c r="L35" s="66">
        <v>3.2662745075993614E-2</v>
      </c>
      <c r="M35" s="66">
        <v>3.0321598647084381E-2</v>
      </c>
      <c r="N35" s="66">
        <v>2.984028114810271E-2</v>
      </c>
      <c r="O35" s="66">
        <v>1.2761951722437633E-2</v>
      </c>
      <c r="P35" s="58">
        <v>1.7064933974541369E-2</v>
      </c>
      <c r="Q35" s="51"/>
      <c r="R35" s="51"/>
    </row>
    <row r="36" spans="1:18" x14ac:dyDescent="0.2">
      <c r="A36" s="70" t="s">
        <v>67</v>
      </c>
      <c r="B36" s="73">
        <v>4.3171261644376097E-2</v>
      </c>
      <c r="C36" s="66">
        <v>3.9276893216160451E-2</v>
      </c>
      <c r="D36" s="66">
        <v>5.9648085734983237E-2</v>
      </c>
      <c r="E36" s="66">
        <v>5.5923074633548529E-2</v>
      </c>
      <c r="F36" s="66">
        <v>5.4799389760066784E-2</v>
      </c>
      <c r="G36" s="66">
        <v>5.5638493515874979E-2</v>
      </c>
      <c r="H36" s="66">
        <v>5.1984986596618481E-2</v>
      </c>
      <c r="I36" s="66">
        <v>4.1393905791410446E-2</v>
      </c>
      <c r="J36" s="66">
        <v>4.4875769906078423E-2</v>
      </c>
      <c r="K36" s="66">
        <v>4.5203316764732236E-2</v>
      </c>
      <c r="L36" s="66">
        <v>3.8322860526954196E-2</v>
      </c>
      <c r="M36" s="66">
        <v>4.750100926380315E-2</v>
      </c>
      <c r="N36" s="66">
        <v>3.3008806608248606E-2</v>
      </c>
      <c r="O36" s="66">
        <v>2.9029293766949814E-2</v>
      </c>
      <c r="P36" s="58">
        <v>4.2425613493355475E-2</v>
      </c>
      <c r="Q36" s="51"/>
      <c r="R36" s="51"/>
    </row>
    <row r="37" spans="1:18" x14ac:dyDescent="0.2">
      <c r="A37" s="70" t="s">
        <v>68</v>
      </c>
      <c r="B37" s="73">
        <v>9.4039804299070953E-2</v>
      </c>
      <c r="C37" s="66">
        <v>8.4187200683365465E-2</v>
      </c>
      <c r="D37" s="66">
        <v>6.9109884970091726E-2</v>
      </c>
      <c r="E37" s="66">
        <v>6.8447193073041812E-2</v>
      </c>
      <c r="F37" s="66">
        <v>7.8272087995973405E-2</v>
      </c>
      <c r="G37" s="66">
        <v>8.3685445087806329E-2</v>
      </c>
      <c r="H37" s="66">
        <v>9.9013314496997795E-2</v>
      </c>
      <c r="I37" s="66">
        <v>0.1030808598938182</v>
      </c>
      <c r="J37" s="66">
        <v>9.7624787491987414E-2</v>
      </c>
      <c r="K37" s="66">
        <v>0.10662536388336176</v>
      </c>
      <c r="L37" s="66">
        <v>0.10691862519172997</v>
      </c>
      <c r="M37" s="66">
        <v>0.11709200803661871</v>
      </c>
      <c r="N37" s="66">
        <v>0.11156565447171325</v>
      </c>
      <c r="O37" s="66">
        <v>0.13922944169262835</v>
      </c>
      <c r="P37" s="58">
        <v>9.9741355585926395E-2</v>
      </c>
      <c r="Q37" s="51"/>
      <c r="R37" s="51"/>
    </row>
    <row r="38" spans="1:18" x14ac:dyDescent="0.2">
      <c r="A38" s="70" t="s">
        <v>69</v>
      </c>
      <c r="B38" s="73">
        <v>8.4064039850128724E-2</v>
      </c>
      <c r="C38" s="66">
        <v>5.5791748870359523E-2</v>
      </c>
      <c r="D38" s="66">
        <v>0.11601471533769134</v>
      </c>
      <c r="E38" s="66">
        <v>0.13122436910303345</v>
      </c>
      <c r="F38" s="66">
        <v>0.12533857267691992</v>
      </c>
      <c r="G38" s="66">
        <v>9.4595134354374916E-2</v>
      </c>
      <c r="H38" s="66">
        <v>0.10653146343647753</v>
      </c>
      <c r="I38" s="66">
        <v>9.9489216048261692E-2</v>
      </c>
      <c r="J38" s="66">
        <v>4.1465188726188477E-2</v>
      </c>
      <c r="K38" s="66">
        <v>9.847765274042114E-2</v>
      </c>
      <c r="L38" s="66">
        <v>9.5306285802749136E-2</v>
      </c>
      <c r="M38" s="66">
        <v>0.10788009075675035</v>
      </c>
      <c r="N38" s="66">
        <v>9.1823584930968968E-2</v>
      </c>
      <c r="O38" s="66">
        <v>9.6940628011744384E-2</v>
      </c>
      <c r="P38" s="58">
        <v>0.10005853899723398</v>
      </c>
      <c r="Q38" s="51"/>
      <c r="R38" s="51"/>
    </row>
    <row r="39" spans="1:18" x14ac:dyDescent="0.2">
      <c r="A39" s="71" t="s">
        <v>70</v>
      </c>
      <c r="B39" s="74">
        <v>1</v>
      </c>
      <c r="C39" s="129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1"/>
      <c r="Q39" s="51"/>
      <c r="R39" s="51"/>
    </row>
    <row r="40" spans="1:18" ht="12" thickBot="1" x14ac:dyDescent="0.25">
      <c r="A40" s="72" t="s">
        <v>71</v>
      </c>
      <c r="B40" s="75">
        <v>2.2999999999999998</v>
      </c>
      <c r="C40" s="67">
        <v>4.5999999999999996</v>
      </c>
      <c r="D40" s="67">
        <v>1.6</v>
      </c>
      <c r="E40" s="67">
        <v>1.4</v>
      </c>
      <c r="F40" s="67">
        <v>1.4</v>
      </c>
      <c r="G40" s="67">
        <v>1.3</v>
      </c>
      <c r="H40" s="67">
        <v>1.4</v>
      </c>
      <c r="I40" s="67">
        <v>1.6</v>
      </c>
      <c r="J40" s="67">
        <v>1.8</v>
      </c>
      <c r="K40" s="67">
        <v>1.7</v>
      </c>
      <c r="L40" s="67">
        <v>2.1</v>
      </c>
      <c r="M40" s="67">
        <v>1.9</v>
      </c>
      <c r="N40" s="67">
        <v>2.2000000000000002</v>
      </c>
      <c r="O40" s="67">
        <v>1.7</v>
      </c>
      <c r="P40" s="68">
        <v>1.5</v>
      </c>
      <c r="Q40" s="51"/>
      <c r="R40" s="51"/>
    </row>
    <row r="41" spans="1:18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</row>
    <row r="42" spans="1:18" x14ac:dyDescent="0.2">
      <c r="A42" s="54" t="s">
        <v>74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</row>
    <row r="43" spans="1:18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</row>
  </sheetData>
  <mergeCells count="3">
    <mergeCell ref="B3:C3"/>
    <mergeCell ref="A3:A4"/>
    <mergeCell ref="C39:P39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/>
  </sheetViews>
  <sheetFormatPr baseColWidth="10" defaultColWidth="11.42578125" defaultRowHeight="11.25" x14ac:dyDescent="0.2"/>
  <cols>
    <col min="1" max="1" width="53.28515625" style="45" customWidth="1"/>
    <col min="2" max="2" width="13" style="45" customWidth="1"/>
    <col min="3" max="3" width="12.5703125" style="45" customWidth="1"/>
    <col min="4" max="16384" width="11.42578125" style="45"/>
  </cols>
  <sheetData>
    <row r="1" spans="1:15" x14ac:dyDescent="0.2">
      <c r="A1" s="48" t="s">
        <v>96</v>
      </c>
    </row>
    <row r="3" spans="1:15" ht="12" thickBo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x14ac:dyDescent="0.2">
      <c r="A4" s="135"/>
      <c r="B4" s="132" t="s">
        <v>54</v>
      </c>
      <c r="C4" s="133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x14ac:dyDescent="0.2">
      <c r="A5" s="136"/>
      <c r="B5" s="52" t="s">
        <v>55</v>
      </c>
      <c r="C5" s="55" t="s">
        <v>56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x14ac:dyDescent="0.2">
      <c r="A6" s="80" t="s">
        <v>81</v>
      </c>
      <c r="B6" s="57">
        <v>98904.58</v>
      </c>
      <c r="C6" s="58">
        <v>0.14467970508356659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x14ac:dyDescent="0.2">
      <c r="A7" s="81" t="s">
        <v>82</v>
      </c>
      <c r="B7" s="57">
        <v>47085.42</v>
      </c>
      <c r="C7" s="58">
        <v>6.8877545198977319E-2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5" x14ac:dyDescent="0.2">
      <c r="A8" s="81" t="s">
        <v>83</v>
      </c>
      <c r="B8" s="57">
        <v>39621.410000000003</v>
      </c>
      <c r="C8" s="58">
        <v>5.7959033988062805E-2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x14ac:dyDescent="0.2">
      <c r="A9" s="81" t="s">
        <v>84</v>
      </c>
      <c r="B9" s="57">
        <v>21603.72</v>
      </c>
      <c r="C9" s="58">
        <v>3.1602377142776902E-2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15" x14ac:dyDescent="0.2">
      <c r="A10" s="81" t="s">
        <v>85</v>
      </c>
      <c r="B10" s="57">
        <v>18925.689999999999</v>
      </c>
      <c r="C10" s="58">
        <v>2.7684898390984574E-2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1:15" x14ac:dyDescent="0.2">
      <c r="A11" s="81" t="s">
        <v>86</v>
      </c>
      <c r="B11" s="57">
        <v>12157.41</v>
      </c>
      <c r="C11" s="58">
        <v>1.7784115693934531E-2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pans="1:15" x14ac:dyDescent="0.2">
      <c r="A12" s="81" t="s">
        <v>87</v>
      </c>
      <c r="B12" s="57">
        <v>33801.269999999997</v>
      </c>
      <c r="C12" s="58">
        <v>4.9445210475086251E-2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</row>
    <row r="13" spans="1:15" x14ac:dyDescent="0.2">
      <c r="A13" s="81" t="s">
        <v>88</v>
      </c>
      <c r="B13" s="57">
        <v>62509.47</v>
      </c>
      <c r="C13" s="58">
        <v>9.144017076388225E-2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5" x14ac:dyDescent="0.2">
      <c r="A14" s="81" t="s">
        <v>23</v>
      </c>
      <c r="B14" s="57">
        <v>122421.05</v>
      </c>
      <c r="C14" s="58">
        <v>0.17908009325776986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</row>
    <row r="15" spans="1:15" x14ac:dyDescent="0.2">
      <c r="A15" s="81" t="s">
        <v>89</v>
      </c>
      <c r="B15" s="57">
        <v>88453.39</v>
      </c>
      <c r="C15" s="58">
        <v>0.12939148398225539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</row>
    <row r="16" spans="1:15" x14ac:dyDescent="0.2">
      <c r="A16" s="81" t="s">
        <v>24</v>
      </c>
      <c r="B16" s="57">
        <v>68215.289999999994</v>
      </c>
      <c r="C16" s="58">
        <v>9.9786764570356276E-2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</row>
    <row r="17" spans="1:15" x14ac:dyDescent="0.2">
      <c r="A17" s="81" t="s">
        <v>27</v>
      </c>
      <c r="B17" s="57">
        <v>48434.04</v>
      </c>
      <c r="C17" s="58">
        <v>7.0850334971400392E-2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</row>
    <row r="18" spans="1:15" x14ac:dyDescent="0.2">
      <c r="A18" s="82" t="s">
        <v>90</v>
      </c>
      <c r="B18" s="57">
        <v>21477.86</v>
      </c>
      <c r="C18" s="58">
        <v>3.1418266480946901E-2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19" spans="1:15" x14ac:dyDescent="0.2">
      <c r="A19" s="83" t="s">
        <v>91</v>
      </c>
      <c r="B19" s="53">
        <v>683610.6</v>
      </c>
      <c r="C19" s="84">
        <v>1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</row>
    <row r="20" spans="1:15" ht="12" thickBot="1" x14ac:dyDescent="0.25">
      <c r="A20" s="62" t="s">
        <v>92</v>
      </c>
      <c r="B20" s="63" t="s">
        <v>72</v>
      </c>
      <c r="C20" s="64">
        <v>2.59689946173054E-2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</row>
    <row r="21" spans="1:15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1:15" x14ac:dyDescent="0.2">
      <c r="A22" s="54" t="s">
        <v>93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</row>
    <row r="23" spans="1:15" x14ac:dyDescent="0.2">
      <c r="A23" s="54" t="s">
        <v>74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</row>
    <row r="24" spans="1:15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</row>
    <row r="25" spans="1:15" ht="12" thickBot="1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</row>
    <row r="26" spans="1:15" x14ac:dyDescent="0.2">
      <c r="A26" s="135"/>
      <c r="B26" s="134" t="s">
        <v>54</v>
      </c>
      <c r="C26" s="133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</row>
    <row r="27" spans="1:15" x14ac:dyDescent="0.2">
      <c r="A27" s="137"/>
      <c r="B27" s="79" t="s">
        <v>55</v>
      </c>
      <c r="C27" s="85" t="s">
        <v>56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</row>
    <row r="28" spans="1:15" x14ac:dyDescent="0.2">
      <c r="A28" s="80" t="s">
        <v>23</v>
      </c>
      <c r="B28" s="57">
        <v>122421.05</v>
      </c>
      <c r="C28" s="58">
        <v>0.17908009325776986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1:15" x14ac:dyDescent="0.2">
      <c r="A29" s="81" t="s">
        <v>81</v>
      </c>
      <c r="B29" s="57">
        <v>98904.58</v>
      </c>
      <c r="C29" s="58">
        <v>0.14467970508356659</v>
      </c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1:15" x14ac:dyDescent="0.2">
      <c r="A30" s="81" t="s">
        <v>89</v>
      </c>
      <c r="B30" s="57">
        <v>88453.39</v>
      </c>
      <c r="C30" s="58">
        <v>0.12939148398225539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</row>
    <row r="31" spans="1:15" x14ac:dyDescent="0.2">
      <c r="A31" s="81" t="s">
        <v>24</v>
      </c>
      <c r="B31" s="57">
        <v>68215.289999999994</v>
      </c>
      <c r="C31" s="58">
        <v>9.9786764570356276E-2</v>
      </c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</row>
    <row r="32" spans="1:15" x14ac:dyDescent="0.2">
      <c r="A32" s="81" t="s">
        <v>88</v>
      </c>
      <c r="B32" s="57">
        <v>62509.47</v>
      </c>
      <c r="C32" s="58">
        <v>9.144017076388225E-2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</row>
    <row r="33" spans="1:15" x14ac:dyDescent="0.2">
      <c r="A33" s="81" t="s">
        <v>27</v>
      </c>
      <c r="B33" s="57">
        <v>48434.04</v>
      </c>
      <c r="C33" s="58">
        <v>7.0850334971400392E-2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x14ac:dyDescent="0.2">
      <c r="A34" s="81" t="s">
        <v>82</v>
      </c>
      <c r="B34" s="57">
        <v>47085.42</v>
      </c>
      <c r="C34" s="58">
        <v>6.8877545198977319E-2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1:15" x14ac:dyDescent="0.2">
      <c r="A35" s="81" t="s">
        <v>83</v>
      </c>
      <c r="B35" s="57">
        <v>39621.410000000003</v>
      </c>
      <c r="C35" s="58">
        <v>5.7959033988062805E-2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</row>
    <row r="36" spans="1:15" x14ac:dyDescent="0.2">
      <c r="A36" s="81" t="s">
        <v>87</v>
      </c>
      <c r="B36" s="57">
        <v>33801.269999999997</v>
      </c>
      <c r="C36" s="58">
        <v>4.9445210475086251E-2</v>
      </c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</row>
    <row r="37" spans="1:15" x14ac:dyDescent="0.2">
      <c r="A37" s="81" t="s">
        <v>84</v>
      </c>
      <c r="B37" s="57">
        <v>21603.72</v>
      </c>
      <c r="C37" s="58">
        <v>3.1602377142776902E-2</v>
      </c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spans="1:15" x14ac:dyDescent="0.2">
      <c r="A38" s="81" t="s">
        <v>90</v>
      </c>
      <c r="B38" s="57">
        <v>21477.86</v>
      </c>
      <c r="C38" s="58">
        <v>3.1418266480946901E-2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</row>
    <row r="39" spans="1:15" x14ac:dyDescent="0.2">
      <c r="A39" s="81" t="s">
        <v>85</v>
      </c>
      <c r="B39" s="57">
        <v>18925.689999999999</v>
      </c>
      <c r="C39" s="58">
        <v>2.7684898390984574E-2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1:15" x14ac:dyDescent="0.2">
      <c r="A40" s="82" t="s">
        <v>86</v>
      </c>
      <c r="B40" s="57">
        <v>12157.41</v>
      </c>
      <c r="C40" s="58">
        <v>1.7784115693934531E-2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</row>
    <row r="41" spans="1:15" x14ac:dyDescent="0.2">
      <c r="A41" s="83" t="s">
        <v>91</v>
      </c>
      <c r="B41" s="53">
        <v>683610.6</v>
      </c>
      <c r="C41" s="84">
        <v>1</v>
      </c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</row>
    <row r="42" spans="1:15" ht="12" thickBot="1" x14ac:dyDescent="0.25">
      <c r="A42" s="62" t="s">
        <v>92</v>
      </c>
      <c r="B42" s="63" t="s">
        <v>72</v>
      </c>
      <c r="C42" s="64">
        <v>2.59689946173054E-2</v>
      </c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</row>
  </sheetData>
  <mergeCells count="4">
    <mergeCell ref="B4:C4"/>
    <mergeCell ref="B26:C26"/>
    <mergeCell ref="A4:A5"/>
    <mergeCell ref="A26:A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Sommaire</vt:lpstr>
      <vt:lpstr>Repères</vt:lpstr>
      <vt:lpstr>Dépense culturelle</vt:lpstr>
      <vt:lpstr>Dépenses cult coll territoriale</vt:lpstr>
      <vt:lpstr>Dépenses cult du MC</vt:lpstr>
      <vt:lpstr>Dépenses communes et groupement</vt:lpstr>
      <vt:lpstr>Répartition équipements</vt:lpstr>
      <vt:lpstr>Répartition prof cult</vt:lpstr>
      <vt:lpstr>Répart emploi par secteur</vt:lpstr>
      <vt:lpstr>Entreprises culturelles</vt:lpstr>
      <vt:lpstr>Entreprises CA et salairés</vt:lpstr>
      <vt:lpstr>CA enteprises cult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2018-12-11T10:38:20Z</dcterms:modified>
</cp:coreProperties>
</file>