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-PUBLICATIONS 2007-2023\CHIFFRES CLES 2023\Tableaux Excel pour site MC\III. Approche géo de l'offre culturelle\"/>
    </mc:Choice>
  </mc:AlternateContent>
  <xr:revisionPtr revIDLastSave="0" documentId="13_ncr:1_{65E718C1-1C65-4754-A111-E178DD64FB40}" xr6:coauthVersionLast="47" xr6:coauthVersionMax="47" xr10:uidLastSave="{00000000-0000-0000-0000-000000000000}"/>
  <bookViews>
    <workbookView xWindow="-120" yWindow="-120" windowWidth="25440" windowHeight="15390" tabRatio="727" activeTab="6" xr2:uid="{00000000-000D-0000-FFFF-FFFF00000000}"/>
  </bookViews>
  <sheets>
    <sheet name="Sommaire" sheetId="6" r:id="rId1"/>
    <sheet name="Graphique 1" sheetId="9" r:id="rId2"/>
    <sheet name="Graphique 2" sheetId="16" r:id="rId3"/>
    <sheet name="Graphique 3" sheetId="7" r:id="rId4"/>
    <sheet name="Tableau 1 (graphiques 3,4 et 5)" sheetId="14" r:id="rId5"/>
    <sheet name="Graphique 6" sheetId="3" r:id="rId6"/>
    <sheet name="Tableau 2" sheetId="8" r:id="rId7"/>
  </sheets>
  <externalReferences>
    <externalReference r:id="rId8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8" l="1"/>
  <c r="G6" i="8"/>
  <c r="G7" i="8"/>
  <c r="G8" i="8"/>
  <c r="G9" i="8"/>
  <c r="K9" i="8" l="1"/>
  <c r="K8" i="8"/>
  <c r="K7" i="8"/>
  <c r="K6" i="8"/>
  <c r="K5" i="8"/>
  <c r="H9" i="8"/>
  <c r="H8" i="8"/>
  <c r="H7" i="8"/>
  <c r="H6" i="8"/>
  <c r="H5" i="8"/>
  <c r="J9" i="8"/>
  <c r="J8" i="8"/>
  <c r="J7" i="8"/>
  <c r="J6" i="8"/>
  <c r="J5" i="8"/>
  <c r="I9" i="8"/>
  <c r="I8" i="8"/>
  <c r="I7" i="8"/>
  <c r="I6" i="8"/>
  <c r="I5" i="8"/>
  <c r="D58" i="8" l="1"/>
  <c r="D57" i="8"/>
  <c r="C39" i="8"/>
  <c r="D36" i="8"/>
  <c r="D37" i="8" s="1"/>
  <c r="D81" i="8"/>
  <c r="D80" i="8"/>
  <c r="D79" i="8"/>
  <c r="D78" i="8"/>
  <c r="C80" i="8"/>
  <c r="C81" i="8" s="1"/>
  <c r="C79" i="8"/>
  <c r="C78" i="8"/>
  <c r="D38" i="8" l="1"/>
  <c r="D39" i="8" s="1"/>
  <c r="D14" i="3"/>
  <c r="E93" i="16" l="1"/>
  <c r="G93" i="16" s="1"/>
  <c r="H93" i="16" s="1"/>
  <c r="E79" i="16"/>
  <c r="G79" i="16" s="1"/>
  <c r="I79" i="16" s="1"/>
  <c r="E78" i="16"/>
  <c r="G78" i="16" s="1"/>
  <c r="I78" i="16" s="1"/>
  <c r="E80" i="16"/>
  <c r="G80" i="16" s="1"/>
  <c r="E81" i="16"/>
  <c r="G81" i="16" s="1"/>
  <c r="H81" i="16" s="1"/>
  <c r="E82" i="16"/>
  <c r="G82" i="16" s="1"/>
  <c r="E83" i="16"/>
  <c r="G83" i="16" s="1"/>
  <c r="K83" i="16" s="1"/>
  <c r="E84" i="16"/>
  <c r="G84" i="16" s="1"/>
  <c r="I84" i="16" s="1"/>
  <c r="E85" i="16"/>
  <c r="G85" i="16" s="1"/>
  <c r="H85" i="16" s="1"/>
  <c r="E86" i="16"/>
  <c r="G86" i="16" s="1"/>
  <c r="H86" i="16" s="1"/>
  <c r="E87" i="16"/>
  <c r="G87" i="16" s="1"/>
  <c r="H87" i="16" s="1"/>
  <c r="E88" i="16"/>
  <c r="G88" i="16" s="1"/>
  <c r="E89" i="16"/>
  <c r="G89" i="16" s="1"/>
  <c r="H89" i="16" s="1"/>
  <c r="E90" i="16"/>
  <c r="G90" i="16" s="1"/>
  <c r="H90" i="16" s="1"/>
  <c r="E91" i="16"/>
  <c r="G91" i="16" s="1"/>
  <c r="H91" i="16" s="1"/>
  <c r="E92" i="16"/>
  <c r="G92" i="16" s="1"/>
  <c r="J92" i="16" s="1"/>
  <c r="E77" i="16"/>
  <c r="G77" i="16" s="1"/>
  <c r="L88" i="16" l="1"/>
  <c r="K88" i="16"/>
  <c r="H80" i="16"/>
  <c r="I80" i="16"/>
  <c r="H78" i="16"/>
  <c r="H79" i="16"/>
  <c r="H77" i="16"/>
  <c r="J77" i="16"/>
  <c r="I77" i="16"/>
  <c r="M82" i="16"/>
  <c r="I82" i="16"/>
  <c r="J82" i="16"/>
  <c r="H82" i="16"/>
  <c r="K82" i="16"/>
  <c r="L82" i="16"/>
  <c r="I83" i="16"/>
  <c r="H88" i="16"/>
  <c r="H92" i="16"/>
  <c r="I92" i="16"/>
  <c r="J83" i="16"/>
  <c r="H83" i="16"/>
  <c r="J88" i="16"/>
  <c r="H84" i="16"/>
  <c r="I88" i="16"/>
  <c r="E66" i="16"/>
  <c r="G66" i="16" s="1"/>
  <c r="K66" i="16" s="1"/>
  <c r="E68" i="16"/>
  <c r="G68" i="16" s="1"/>
  <c r="M68" i="16" s="1"/>
  <c r="E67" i="16"/>
  <c r="G67" i="16" s="1"/>
  <c r="N67" i="16" s="1"/>
  <c r="E71" i="16"/>
  <c r="G71" i="16" s="1"/>
  <c r="K71" i="16" s="1"/>
  <c r="E49" i="16"/>
  <c r="G49" i="16" s="1"/>
  <c r="S49" i="16" s="1"/>
  <c r="E56" i="16"/>
  <c r="G56" i="16" s="1"/>
  <c r="P56" i="16" s="1"/>
  <c r="E63" i="16"/>
  <c r="G63" i="16" s="1"/>
  <c r="N63" i="16" s="1"/>
  <c r="E64" i="16"/>
  <c r="G64" i="16" s="1"/>
  <c r="M64" i="16" s="1"/>
  <c r="E65" i="16"/>
  <c r="G65" i="16" s="1"/>
  <c r="O65" i="16" s="1"/>
  <c r="E51" i="16"/>
  <c r="G51" i="16" s="1"/>
  <c r="Q51" i="16" s="1"/>
  <c r="E62" i="16"/>
  <c r="G62" i="16" s="1"/>
  <c r="N62" i="16" s="1"/>
  <c r="E45" i="16"/>
  <c r="G45" i="16" s="1"/>
  <c r="S45" i="16" s="1"/>
  <c r="E52" i="16"/>
  <c r="G52" i="16" s="1"/>
  <c r="E60" i="16"/>
  <c r="G60" i="16" s="1"/>
  <c r="R60" i="16" s="1"/>
  <c r="E59" i="16"/>
  <c r="G59" i="16" s="1"/>
  <c r="P59" i="16" s="1"/>
  <c r="E57" i="16"/>
  <c r="G57" i="16" s="1"/>
  <c r="Q57" i="16" s="1"/>
  <c r="E74" i="16"/>
  <c r="G74" i="16" s="1"/>
  <c r="K74" i="16" s="1"/>
  <c r="E53" i="16"/>
  <c r="G53" i="16" s="1"/>
  <c r="S53" i="16" s="1"/>
  <c r="E54" i="16"/>
  <c r="G54" i="16" s="1"/>
  <c r="R54" i="16" s="1"/>
  <c r="E72" i="16"/>
  <c r="G72" i="16" s="1"/>
  <c r="M72" i="16" s="1"/>
  <c r="E61" i="16"/>
  <c r="G61" i="16" s="1"/>
  <c r="R61" i="16" s="1"/>
  <c r="E47" i="16"/>
  <c r="G47" i="16" s="1"/>
  <c r="R47" i="16" s="1"/>
  <c r="E46" i="16"/>
  <c r="G46" i="16" s="1"/>
  <c r="S46" i="16" s="1"/>
  <c r="E70" i="16"/>
  <c r="G70" i="16" s="1"/>
  <c r="K70" i="16" s="1"/>
  <c r="E73" i="16"/>
  <c r="G73" i="16" s="1"/>
  <c r="R73" i="16" s="1"/>
  <c r="E50" i="16"/>
  <c r="G50" i="16" s="1"/>
  <c r="R50" i="16" s="1"/>
  <c r="E69" i="16"/>
  <c r="G69" i="16" s="1"/>
  <c r="L69" i="16" s="1"/>
  <c r="E75" i="16"/>
  <c r="G75" i="16" s="1"/>
  <c r="H75" i="16" s="1"/>
  <c r="E48" i="16"/>
  <c r="G48" i="16" s="1"/>
  <c r="E58" i="16"/>
  <c r="G58" i="16" s="1"/>
  <c r="R58" i="16" s="1"/>
  <c r="E55" i="16"/>
  <c r="G55" i="16" s="1"/>
  <c r="P55" i="16" s="1"/>
  <c r="H94" i="16" l="1"/>
  <c r="H96" i="16"/>
  <c r="I94" i="16"/>
  <c r="L94" i="16"/>
  <c r="K94" i="16"/>
  <c r="H76" i="16"/>
  <c r="M94" i="16"/>
  <c r="J94" i="16"/>
  <c r="N71" i="16"/>
  <c r="M71" i="16"/>
  <c r="Q53" i="16"/>
  <c r="P58" i="16"/>
  <c r="S60" i="16"/>
  <c r="S56" i="16"/>
  <c r="R53" i="16"/>
  <c r="J71" i="16"/>
  <c r="R49" i="16"/>
  <c r="S50" i="16"/>
  <c r="P60" i="16"/>
  <c r="Q58" i="16"/>
  <c r="J69" i="16"/>
  <c r="Q54" i="16"/>
  <c r="S55" i="16"/>
  <c r="Q60" i="16"/>
  <c r="L70" i="16"/>
  <c r="K69" i="16"/>
  <c r="K68" i="16"/>
  <c r="Q50" i="16"/>
  <c r="S47" i="16"/>
  <c r="Q56" i="16"/>
  <c r="L68" i="16"/>
  <c r="K67" i="16"/>
  <c r="R46" i="16"/>
  <c r="R57" i="16"/>
  <c r="N68" i="16"/>
  <c r="L67" i="16"/>
  <c r="L62" i="16"/>
  <c r="R45" i="16"/>
  <c r="R56" i="16"/>
  <c r="N70" i="16"/>
  <c r="M62" i="16"/>
  <c r="O62" i="16"/>
  <c r="S58" i="16"/>
  <c r="R51" i="16"/>
  <c r="K72" i="16"/>
  <c r="Q64" i="16"/>
  <c r="R48" i="16"/>
  <c r="S48" i="16"/>
  <c r="Q48" i="16"/>
  <c r="Q52" i="16"/>
  <c r="S52" i="16"/>
  <c r="R52" i="16"/>
  <c r="N73" i="16"/>
  <c r="P66" i="16"/>
  <c r="I74" i="16"/>
  <c r="K65" i="16"/>
  <c r="P57" i="16"/>
  <c r="Q49" i="16"/>
  <c r="S59" i="16"/>
  <c r="S51" i="16"/>
  <c r="Q59" i="16"/>
  <c r="N65" i="16"/>
  <c r="O67" i="16"/>
  <c r="Q73" i="16"/>
  <c r="M74" i="16"/>
  <c r="L71" i="16"/>
  <c r="N66" i="16"/>
  <c r="L64" i="16"/>
  <c r="J74" i="16"/>
  <c r="L65" i="16"/>
  <c r="J73" i="16"/>
  <c r="O66" i="16"/>
  <c r="O61" i="16"/>
  <c r="I73" i="16"/>
  <c r="K64" i="16"/>
  <c r="R59" i="16"/>
  <c r="M65" i="16"/>
  <c r="P73" i="16"/>
  <c r="L74" i="16"/>
  <c r="L63" i="16"/>
  <c r="S64" i="16"/>
  <c r="J72" i="16"/>
  <c r="K63" i="16"/>
  <c r="Q47" i="16"/>
  <c r="S57" i="16"/>
  <c r="S65" i="16"/>
  <c r="N69" i="16"/>
  <c r="O73" i="16"/>
  <c r="M70" i="16"/>
  <c r="M67" i="16"/>
  <c r="M63" i="16"/>
  <c r="R64" i="16"/>
  <c r="J70" i="16"/>
  <c r="P61" i="16"/>
  <c r="P64" i="16"/>
  <c r="R65" i="16"/>
  <c r="M61" i="16"/>
  <c r="Q65" i="16"/>
  <c r="M73" i="16"/>
  <c r="M66" i="16"/>
  <c r="S54" i="16"/>
  <c r="R55" i="16"/>
  <c r="Q55" i="16"/>
  <c r="P62" i="16"/>
  <c r="P65" i="16"/>
  <c r="N72" i="16"/>
  <c r="L73" i="16"/>
  <c r="L72" i="16"/>
  <c r="M69" i="16"/>
  <c r="L66" i="16"/>
  <c r="O64" i="16"/>
  <c r="I75" i="16"/>
  <c r="S61" i="16"/>
  <c r="Q61" i="16"/>
  <c r="S73" i="16"/>
  <c r="K73" i="16"/>
  <c r="N61" i="16"/>
  <c r="N64" i="16"/>
  <c r="E11" i="3"/>
  <c r="I96" i="16" l="1"/>
  <c r="O96" i="16"/>
  <c r="P96" i="16"/>
  <c r="M96" i="16"/>
  <c r="L96" i="16"/>
  <c r="S96" i="16"/>
  <c r="K96" i="16"/>
  <c r="J96" i="16"/>
  <c r="R96" i="16"/>
  <c r="N96" i="16"/>
  <c r="Q96" i="16"/>
  <c r="H95" i="16"/>
  <c r="J76" i="16"/>
  <c r="J95" i="16" s="1"/>
  <c r="S76" i="16"/>
  <c r="S95" i="16" s="1"/>
  <c r="Q76" i="16"/>
  <c r="Q95" i="16" s="1"/>
  <c r="R76" i="16"/>
  <c r="R95" i="16" s="1"/>
  <c r="M76" i="16"/>
  <c r="M95" i="16" s="1"/>
  <c r="N76" i="16"/>
  <c r="N95" i="16" s="1"/>
  <c r="L76" i="16"/>
  <c r="L95" i="16" s="1"/>
  <c r="O76" i="16"/>
  <c r="O95" i="16" s="1"/>
  <c r="P76" i="16"/>
  <c r="P95" i="16" s="1"/>
  <c r="K76" i="16"/>
  <c r="K95" i="16" s="1"/>
  <c r="I76" i="16"/>
  <c r="I95" i="16" s="1"/>
  <c r="F5" i="3"/>
  <c r="C58" i="8" l="1"/>
  <c r="C57" i="8"/>
  <c r="C38" i="8"/>
  <c r="C37" i="8"/>
  <c r="C3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DELVAINQUIERE Jean-cédric</author>
  </authors>
  <commentList>
    <comment ref="G7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DELVAINQUIERE Jean-cédric:</t>
        </r>
        <r>
          <rPr>
            <sz val="9"/>
            <color indexed="81"/>
            <rFont val="Tahoma"/>
            <family val="2"/>
          </rPr>
          <t xml:space="preserve">
en 2021</t>
        </r>
      </text>
    </comment>
    <comment ref="G7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DELVAINQUIERE Jean-cédric:</t>
        </r>
        <r>
          <rPr>
            <sz val="9"/>
            <color indexed="81"/>
            <rFont val="Tahoma"/>
            <family val="2"/>
          </rPr>
          <t xml:space="preserve">
en 2021</t>
        </r>
      </text>
    </comment>
    <comment ref="G9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DELVAINQUIERE Jean-cédric:</t>
        </r>
        <r>
          <rPr>
            <sz val="9"/>
            <color indexed="81"/>
            <rFont val="Tahoma"/>
            <family val="2"/>
          </rPr>
          <t xml:space="preserve">
en 2021</t>
        </r>
      </text>
    </comment>
  </commentList>
</comments>
</file>

<file path=xl/sharedStrings.xml><?xml version="1.0" encoding="utf-8"?>
<sst xmlns="http://schemas.openxmlformats.org/spreadsheetml/2006/main" count="739" uniqueCount="473">
  <si>
    <t>Arc de triomphe</t>
  </si>
  <si>
    <t>Musée de l'Armée</t>
  </si>
  <si>
    <t>Centre Pompidou</t>
  </si>
  <si>
    <t>Musée de l'Orangerie</t>
  </si>
  <si>
    <t>Fondation Louis Vuitton</t>
  </si>
  <si>
    <t xml:space="preserve">Musée du Louvre </t>
  </si>
  <si>
    <t xml:space="preserve">Cité des sciences et de l'industrie </t>
  </si>
  <si>
    <t xml:space="preserve">Atelier des Lumières </t>
  </si>
  <si>
    <t xml:space="preserve">Domaine de Versailles </t>
  </si>
  <si>
    <t>Nombre d'entrées
en 2019</t>
  </si>
  <si>
    <t>Nombre d'entrées
en 2020</t>
  </si>
  <si>
    <t>Domaine national de Chambord</t>
  </si>
  <si>
    <t>Nombre d'entrées
en 2021</t>
  </si>
  <si>
    <t>Fermé</t>
  </si>
  <si>
    <t>Déficit cumulé
des entrées
sur 2020 et 2021</t>
  </si>
  <si>
    <t>Site</t>
  </si>
  <si>
    <t>Musée du Louvre (y compris Musée Eugène Delacroix)</t>
  </si>
  <si>
    <t>Musée et domaine national de Versailles (yc spectacles, hors parc)</t>
  </si>
  <si>
    <t>Centre Georges-Pompidou, Musée national d’Art moderne</t>
  </si>
  <si>
    <t>Musée d’Orsay</t>
  </si>
  <si>
    <t>Universcience</t>
  </si>
  <si>
    <t>Musée de l’armée</t>
  </si>
  <si>
    <t>Musée du Quai Branly – Jacques Chirac</t>
  </si>
  <si>
    <t>Musée de l’Orangerie</t>
  </si>
  <si>
    <t>Musées des Confluences</t>
  </si>
  <si>
    <t>Musée Rodin (Paris)</t>
  </si>
  <si>
    <t>Musée des arts décoratifs, Paris</t>
  </si>
  <si>
    <t>Musée du Louvre-Lens</t>
  </si>
  <si>
    <t>Château de Chantilly</t>
  </si>
  <si>
    <t>Musée du Luxembourg, Paris (RMN-GP)</t>
  </si>
  <si>
    <t>Musée des beaux-arts, Lyon</t>
  </si>
  <si>
    <t>Palais de la Porte Dorée Musée national de l'histoire et de l'immigration (yc Aquarium)</t>
  </si>
  <si>
    <t>Château de Blois</t>
  </si>
  <si>
    <t>Cité de l’Architecture et du Patrimoine – Musée des Monuments français</t>
  </si>
  <si>
    <t>Musée Toulouse-Lautrec, Albi</t>
  </si>
  <si>
    <t>Musée d'Archéologie nationale</t>
  </si>
  <si>
    <t>Musée de Pont-Aven</t>
  </si>
  <si>
    <t>Musée national de la Marine à Brest</t>
  </si>
  <si>
    <t>Nombre d'entrées des non-résidents</t>
  </si>
  <si>
    <t>Versailles</t>
  </si>
  <si>
    <t>Lieux</t>
  </si>
  <si>
    <t>Nombre
d'entrées</t>
  </si>
  <si>
    <t>Durée
(en jours calendaires)</t>
  </si>
  <si>
    <t>Expositions 2019 (+/- 3 mois)</t>
  </si>
  <si>
    <t>La Villette</t>
  </si>
  <si>
    <t>Toutânkhamon. Le Trésor du Pharaon (La Villette)</t>
  </si>
  <si>
    <t>Atelier des Lumières</t>
  </si>
  <si>
    <t>Van Gogh. La nuit étoilée (Atelier des Lumières)</t>
  </si>
  <si>
    <t>Cité des sciences et de l’industrie</t>
  </si>
  <si>
    <t>Corps et sport (Cité des sciences et de l’industrie)</t>
  </si>
  <si>
    <t>La Collection Courtauld / La Collection de la Fondation L. Vuitton</t>
  </si>
  <si>
    <t xml:space="preserve">Musée d’Orsay </t>
  </si>
  <si>
    <t>Degas à l’Opéra (Musée d’Orsay)</t>
  </si>
  <si>
    <t>Le Modèle noir de Géricault à Matisse (Musée d’Orsay)</t>
  </si>
  <si>
    <t>Palais de la découverte</t>
  </si>
  <si>
    <t>Poison (Palais de la découverte)</t>
  </si>
  <si>
    <t>Berthe Morisot (1841-1895) (Musée d’Orsay)</t>
  </si>
  <si>
    <t>Centre Pompidou - Musée national d’Art moderne</t>
  </si>
  <si>
    <t>Francis Bacon (Centre Pompidou - Musée national d’Art moderne)</t>
  </si>
  <si>
    <t>Robots (Cité des sciences et de l’industrie)</t>
  </si>
  <si>
    <t>Le Cubisme (Centre Pompidou - Musée national d’Art moderne)</t>
  </si>
  <si>
    <t>Franz Marc/August Macke (Musée de l'Orangerie)</t>
  </si>
  <si>
    <t>Vasarely (Centre Pompidou - Musée national d’Art moderne)</t>
  </si>
  <si>
    <t>Galeries nationales du Grand Palais</t>
  </si>
  <si>
    <t>Le Greco (Galeries nationales du Grand Palais)</t>
  </si>
  <si>
    <t>Préhistoire, une aventure moderne (Centre Pompidou - Musée national d’Art moderne)</t>
  </si>
  <si>
    <t>Total 2019</t>
  </si>
  <si>
    <t>moyenne 2019</t>
  </si>
  <si>
    <t>Total des moins de 1 million d'entrées (8)</t>
  </si>
  <si>
    <t>moyenne (- de 1 million d'entrées)</t>
  </si>
  <si>
    <t>Expositions 2021 (+/- 3 mois)</t>
  </si>
  <si>
    <t>Signac collectionneur (Musée d’Orsay)</t>
  </si>
  <si>
    <t>Petit-Palais</t>
  </si>
  <si>
    <t>Jean-Michel Othoniel, Le théorème de Narcisse (Petit-Palais - musée des beaux-arts de la ville de Paris)</t>
  </si>
  <si>
    <t>Georgia O'Keeffe (Centre Pompidou - Musée national d’Art moderne)</t>
  </si>
  <si>
    <t>Napoléon. L’exposition (La Villette)</t>
  </si>
  <si>
    <t>Musée Jacquemart-André</t>
  </si>
  <si>
    <t>Botticelli. Artiste et designer (Musée Jacquemart-André)</t>
  </si>
  <si>
    <t>Musée et domaine national de Versailles</t>
  </si>
  <si>
    <t>Les Lalanne à Trianon (Musée et domaine national de Versailles)</t>
  </si>
  <si>
    <t>Baselitz  (Centre Pompidou - Musée national d’Art moderne)</t>
  </si>
  <si>
    <t>Chaïm Soutine/Wilhem Kooning, la peinture incarnée (Musée de l’Orangerie)</t>
  </si>
  <si>
    <t>Musée Picasso</t>
  </si>
  <si>
    <t>Picasso Rodin (Musée Picasso)</t>
  </si>
  <si>
    <t>Enfin le cinéma ! Arts, images et spectacles en France (Musée d’Orsay)</t>
  </si>
  <si>
    <t>Musée des Arts Décoratifs</t>
  </si>
  <si>
    <t>Cartier et les arts de l’Islam. Aux sources de la modernité</t>
  </si>
  <si>
    <t>Les animaux du Roi (Musée et domaine national de Versailles)</t>
  </si>
  <si>
    <t>Musée Rodin</t>
  </si>
  <si>
    <t>Picasso Rodin (musée Rodin)</t>
  </si>
  <si>
    <t>Musée du Luxembourg</t>
  </si>
  <si>
    <t>Vivian Maier (Musée du Luxembourg)</t>
  </si>
  <si>
    <t>Elles font l’abstraction (Centre Pompidou - Musée national d’Art moderne)</t>
  </si>
  <si>
    <t>Total 2021</t>
  </si>
  <si>
    <t>moyenne 2021</t>
  </si>
  <si>
    <t>Régions</t>
  </si>
  <si>
    <t>Auvergne-Rhône-Alpes</t>
  </si>
  <si>
    <t>Cité de la Préhistoire - Orgnac-L’Aven</t>
  </si>
  <si>
    <t>Musée des Confluences - Lyon</t>
  </si>
  <si>
    <t>Bourgogne-Franche-Comté</t>
  </si>
  <si>
    <t>Centre d’interprétation - MuséoParc Alésia - Alésia</t>
  </si>
  <si>
    <t>Citadelle de Besançon - Besançon</t>
  </si>
  <si>
    <t>Bretagne</t>
  </si>
  <si>
    <t>Musée de Pont-Aven - Pont-Aven</t>
  </si>
  <si>
    <t>Centre-Val-de-Loire</t>
  </si>
  <si>
    <t>Domaine National de Chambord - Chambord</t>
  </si>
  <si>
    <t>Ecomusée du Véron - Savigny-en-Véron</t>
  </si>
  <si>
    <t>Musée Rabelais - Maison de la Devinière - Seuilly</t>
  </si>
  <si>
    <t>Grand-Est</t>
  </si>
  <si>
    <t>Château de Lunéville - Lunéville</t>
  </si>
  <si>
    <t>Musée d’art moderne et contemporain - Strasbourg</t>
  </si>
  <si>
    <t>Hauts-de-France</t>
  </si>
  <si>
    <t>Familistère de Guise - Guise</t>
  </si>
  <si>
    <t>Palais des Beaux-Arts de Lille - Lille</t>
  </si>
  <si>
    <t>Ile-de-France</t>
  </si>
  <si>
    <t>Arc de Triomphe  - Paris</t>
  </si>
  <si>
    <t>Château de Fontainebleau - Fontainebleau</t>
  </si>
  <si>
    <t>Château de Versailles - Versailles</t>
  </si>
  <si>
    <t>Cité de l'Architecture et du Patrimoine - Paris</t>
  </si>
  <si>
    <t>Conciergerie - Paris</t>
  </si>
  <si>
    <t>Mac Val - Vitry-sur-Seine</t>
  </si>
  <si>
    <t>MNAM - Centre Pompidou - Paris</t>
  </si>
  <si>
    <t>Musée de la Grande Guerre du pays de Meaux - Meaux</t>
  </si>
  <si>
    <t>Musée de l'Air et de l'Espace - Le Bourget</t>
  </si>
  <si>
    <t>Musée de l'Orangerie - Paris</t>
  </si>
  <si>
    <t>Musée des Arts Décoratifs - Paris</t>
  </si>
  <si>
    <t>Musée d'Orsay - Paris</t>
  </si>
  <si>
    <t>Musée du Louvre - Paris</t>
  </si>
  <si>
    <t>Musée du Luxembourg  - Paris</t>
  </si>
  <si>
    <t>Musée du Quai Branly - Paris</t>
  </si>
  <si>
    <t>Musée Picasso - Paris</t>
  </si>
  <si>
    <t>Musée Rodin - Paris</t>
  </si>
  <si>
    <t>Palais de la Porte Dorée - Paris</t>
  </si>
  <si>
    <t>Panthéon  - Paris</t>
  </si>
  <si>
    <t>Normandie</t>
  </si>
  <si>
    <t>Le Mont-Saint-Michel - Mont-Saint-Michel</t>
  </si>
  <si>
    <t>Les Pêcheries - Musée de Fécamp - Fécamp</t>
  </si>
  <si>
    <t>Musée de Dieppe - Dieppe</t>
  </si>
  <si>
    <t>Nouvelle-Aquitaine</t>
  </si>
  <si>
    <t>Ecomusée de la Grande Lande - Sabres</t>
  </si>
  <si>
    <t>Musée d'Aquitaine - Bordeaux</t>
  </si>
  <si>
    <t>Occitanie</t>
  </si>
  <si>
    <t>Musée Fabre - Montpellier</t>
  </si>
  <si>
    <t>Musée Toulouse-Lautrec - Albi</t>
  </si>
  <si>
    <t>Outre-Mer</t>
  </si>
  <si>
    <t>Ecomusée de Marie-Galante - Guadeloupe</t>
  </si>
  <si>
    <t>Musée Territorial Alexandre Franconie - Guyane</t>
  </si>
  <si>
    <t>Maison de la Canne - Martinique</t>
  </si>
  <si>
    <t>Pays-de-la-Loire</t>
  </si>
  <si>
    <t>Château des Ducs de Bretagne - Musée d'Histoire de Nantes - Nantes</t>
  </si>
  <si>
    <t>Provence-Alpes-Côte d'Azur</t>
  </si>
  <si>
    <t>MuCem - Marseille</t>
  </si>
  <si>
    <t>Musée d'Art Moderne et d'Art Contemporain - Nice</t>
  </si>
  <si>
    <t>Musée départemental - Arles Antique - Arles</t>
  </si>
  <si>
    <t>Musée des Beaux-Arts - Dijon</t>
  </si>
  <si>
    <t>Musée des Beaux-Arts - Rennes</t>
  </si>
  <si>
    <t>Musée des Beaux-Arts -Tours</t>
  </si>
  <si>
    <t>Musée des Beaux-Arts - Caen</t>
  </si>
  <si>
    <t>Musée des Beaux-Arts - Rouen</t>
  </si>
  <si>
    <t>Musée des Beaux-Arts - Angers</t>
  </si>
  <si>
    <t>Centre National Costumes de Sscène - Moulins</t>
  </si>
  <si>
    <t>Graphique 1 - Indices mensuels de fréquentation des lieux patrimoniaux 
et du nombre de voyages des résidents en France, en 2019</t>
  </si>
  <si>
    <t>Liste des lieux pris en compte</t>
  </si>
  <si>
    <t>Tourisme et Culture</t>
  </si>
  <si>
    <t>Champ : 52 sites patrimoniaux en France, hors Corse, la Réunion et Mayotte (liste fournie dans le fichier de données)</t>
  </si>
  <si>
    <t>Champ : sites culturels franciliens de plus d'un million d'entrées en 2019</t>
  </si>
  <si>
    <t>52 sites patrimoniaux</t>
  </si>
  <si>
    <t>Nombre de voyages</t>
  </si>
  <si>
    <t>Sources : Patrimostat, DEPS, ministère de la Culture, 2022 ; Suivi de la demande touristique, Insee, 2022</t>
  </si>
  <si>
    <t>Unités</t>
  </si>
  <si>
    <t>Muséum national d'Histoire naturelle</t>
  </si>
  <si>
    <t>Grand Palais</t>
  </si>
  <si>
    <t>446 1</t>
  </si>
  <si>
    <t>Graphique 1 - Indices mensuels de fréquentation des lieux patrimoniaux et du nombre de voyages des résidents en France, en 2022</t>
  </si>
  <si>
    <t>indice</t>
  </si>
  <si>
    <t xml:space="preserve"> janv-22</t>
  </si>
  <si>
    <t xml:space="preserve"> févr-22</t>
  </si>
  <si>
    <t xml:space="preserve"> mars-22</t>
  </si>
  <si>
    <t xml:space="preserve"> avr-22</t>
  </si>
  <si>
    <t xml:space="preserve"> mai-22</t>
  </si>
  <si>
    <t xml:space="preserve"> juin-22</t>
  </si>
  <si>
    <t xml:space="preserve"> juil-22</t>
  </si>
  <si>
    <t xml:space="preserve"> août-22</t>
  </si>
  <si>
    <t xml:space="preserve"> sept-22</t>
  </si>
  <si>
    <t xml:space="preserve"> oct-22</t>
  </si>
  <si>
    <t xml:space="preserve"> nov-22</t>
  </si>
  <si>
    <t xml:space="preserve"> déc-22</t>
  </si>
  <si>
    <t>Fréquentation de 44 établissements patrimoniaux</t>
  </si>
  <si>
    <t>Nombre de voyages des résidents à destination de la France métropolitaine ou des DOM</t>
  </si>
  <si>
    <t>Champ : 44 sites patrimoniaux en France, hors Corse, la Réunion et Mayotte (liste fournie dans le fichier de données : ci-dessous)</t>
  </si>
  <si>
    <t>Sources : Patrimostat, DEPS, ministère de la Culture, 2023 ; Suivi de la demande touristique, Insee, 2023</t>
  </si>
  <si>
    <t>Centre National Coctume Sscène - Moulins</t>
  </si>
  <si>
    <t>Musée des Beaux Arts - Angers</t>
  </si>
  <si>
    <t>Musée des Beaux Arts - Dijon</t>
  </si>
  <si>
    <t>Musée des Beaux Arts - Rennes</t>
  </si>
  <si>
    <t>Musée des Beaux Arts - Rouen</t>
  </si>
  <si>
    <t>Musée des Beaux Arts -Tours</t>
  </si>
  <si>
    <t>Musée National Art Moderne - Centre Pompidou - Paris</t>
  </si>
  <si>
    <t>Total</t>
  </si>
  <si>
    <t>Palais des beaux-arts de Lille</t>
  </si>
  <si>
    <t>Musée de la musique-Philharmonie de Paris</t>
  </si>
  <si>
    <t>Muséum d'histoire naturelle de Nantes</t>
  </si>
  <si>
    <t>Source : Patrimostat, DEPS, ministère de la Culture, 2023</t>
  </si>
  <si>
    <t xml:space="preserve">Musée d'Orsay </t>
  </si>
  <si>
    <t xml:space="preserve">Sainte Chapelle </t>
  </si>
  <si>
    <t xml:space="preserve">Musée du quai Branly - Jacques Chirac </t>
  </si>
  <si>
    <t>Nombre d'entrées
en 2022</t>
  </si>
  <si>
    <t>2022 - 2019
en million</t>
  </si>
  <si>
    <t>Déficit cumulé
des entrées
de 2020 à 2022</t>
  </si>
  <si>
    <t xml:space="preserve">Graphique 1 : Indices mensuels de fréquentation des lieux patrimoniaux et du nombre de voyages des résidents en France, en 2022
</t>
  </si>
  <si>
    <t>Établissement</t>
  </si>
  <si>
    <t>Date d'ouverture</t>
  </si>
  <si>
    <t>Date de clôture</t>
  </si>
  <si>
    <t>Fréquentation totale</t>
  </si>
  <si>
    <t>Nombre de jours d'ouverture</t>
  </si>
  <si>
    <t>Moyenne (visiteurs/jour)</t>
  </si>
  <si>
    <t>Mathurin Méheut, arpenteur de la Bretagne</t>
  </si>
  <si>
    <t>72 082</t>
  </si>
  <si>
    <t>Femmes photographes de guerre</t>
  </si>
  <si>
    <t>Musée de la Libération de Paris - Musée du Général Leclerc - Musée Jean Moulin</t>
  </si>
  <si>
    <t>66 667</t>
  </si>
  <si>
    <t>Anka au cas par cas</t>
  </si>
  <si>
    <t>CAPC - musée d’art contemporain de Bordeaux</t>
  </si>
  <si>
    <t>56 688</t>
  </si>
  <si>
    <t>Je mange donc je suis</t>
  </si>
  <si>
    <t>Muséum d'Histoire Naturelle - Jardin des Sciences de Dijon</t>
  </si>
  <si>
    <t>43 308</t>
  </si>
  <si>
    <t>Mare furioso, pirates et corsaires en Méditerranée</t>
  </si>
  <si>
    <t>Musée de Bastia</t>
  </si>
  <si>
    <t>25 890</t>
  </si>
  <si>
    <t>À la recherche des hiéroglyphes oubliés</t>
  </si>
  <si>
    <t>Musée des Beaux-Arts de Lyon</t>
  </si>
  <si>
    <t>20 774</t>
  </si>
  <si>
    <t>Plumes de peintres</t>
  </si>
  <si>
    <t>Musée des Beaux-Arts de Brest</t>
  </si>
  <si>
    <t>14 488</t>
  </si>
  <si>
    <t>Mirdidingkingathi Juwarnda Sally Gabori</t>
  </si>
  <si>
    <t>Fondation Cartier pour l'art contemporain, Paris</t>
  </si>
  <si>
    <t>85 000</t>
  </si>
  <si>
    <t>Fernand Léger, la vie à bras-le-corps</t>
  </si>
  <si>
    <t>Musée Soulages, Rodez</t>
  </si>
  <si>
    <t>80 000</t>
  </si>
  <si>
    <t>Cabu. Dessins de la rafle du Vel d’Hiv</t>
  </si>
  <si>
    <t>Mémorial de la Shoah à Paris</t>
  </si>
  <si>
    <t>70 000</t>
  </si>
  <si>
    <t>Chagall, Modigliani, Soutine et compagnie, l’École de Paris</t>
  </si>
  <si>
    <t>Musée d’Art Moderne de Céret</t>
  </si>
  <si>
    <t>57 000</t>
  </si>
  <si>
    <t>À l'opéra chez les Despous</t>
  </si>
  <si>
    <t>Musée Fabre, Montpellier</t>
  </si>
  <si>
    <t>11 700</t>
  </si>
  <si>
    <t>Camille Claudel, géniale folie</t>
  </si>
  <si>
    <t>Musée Yves Brayer, Baux-de-Provence</t>
  </si>
  <si>
    <t>10 215</t>
  </si>
  <si>
    <t>Pharaons Superstars</t>
  </si>
  <si>
    <t>Mucem, Marseille</t>
  </si>
  <si>
    <t>159 882</t>
  </si>
  <si>
    <t>Vita Nuova. Nouveaux enjeux de l'art en Italie 1960-1975</t>
  </si>
  <si>
    <t>Musée d'Art Moderne et d'Art Contemporain de Nice</t>
  </si>
  <si>
    <t>Via Roma</t>
  </si>
  <si>
    <t>Musée Granet, Aix-en-Provence</t>
  </si>
  <si>
    <t>65 000</t>
  </si>
  <si>
    <t>Albrecht Dürer. Gravure et Renaissance</t>
  </si>
  <si>
    <t>60 000</t>
  </si>
  <si>
    <t>Toucher le feu. Femmes céramistes au Japon</t>
  </si>
  <si>
    <t>Musée national des Arts asiatiques - Guimet, Paris</t>
  </si>
  <si>
    <t>37 519</t>
  </si>
  <si>
    <t>Ceux de la terre. La figure du paysan, de Courbet à Van Gogh</t>
  </si>
  <si>
    <t>Musée Courbet, Ornans</t>
  </si>
  <si>
    <t>32 384</t>
  </si>
  <si>
    <t>Le mystère Mithra. Plongée au cœur d'un culte romain</t>
  </si>
  <si>
    <t>Musée Saint-Raymond, musée d'Archéologie de Toulouse</t>
  </si>
  <si>
    <t>27 903</t>
  </si>
  <si>
    <t>Picabia pique à Ingres</t>
  </si>
  <si>
    <t>Musée Ingres Bourdelle de Montauban</t>
  </si>
  <si>
    <t>25 769</t>
  </si>
  <si>
    <t>Carte blanche à Yang Jiechang</t>
  </si>
  <si>
    <t>Musée national des arts asiatiques - Guimet, Paris</t>
  </si>
  <si>
    <t>20 544</t>
  </si>
  <si>
    <t>René Seyssaud, d'une lumière à l'autre</t>
  </si>
  <si>
    <t>La Cohue, musée des beaux-arts de Vannes</t>
  </si>
  <si>
    <t>14 668</t>
  </si>
  <si>
    <t>La seconde main. L'art de la citation</t>
  </si>
  <si>
    <t>5 580</t>
  </si>
  <si>
    <t>Fréquentation</t>
  </si>
  <si>
    <t>Pop Air</t>
  </si>
  <si>
    <t>Grande Halle de la Villette, Paris</t>
  </si>
  <si>
    <t>04/09/2022*</t>
  </si>
  <si>
    <t>723 000</t>
  </si>
  <si>
    <t>Raoul Dufy, l'ivresse de la couleur</t>
  </si>
  <si>
    <t>Hôtel de Caumont - Centre d'art, Aix-en-Provence</t>
  </si>
  <si>
    <t>140 000</t>
  </si>
  <si>
    <t>Allemagne / Années 1920 / Nouvelle Objectivité / August Sander</t>
  </si>
  <si>
    <t>Centre Pompidou, Paris</t>
  </si>
  <si>
    <t>267 250</t>
  </si>
  <si>
    <t>La Forêt magique</t>
  </si>
  <si>
    <t>Palais des Beaux-Arts de Lille</t>
  </si>
  <si>
    <t>86 000</t>
  </si>
  <si>
    <t>Rosa Bonheur</t>
  </si>
  <si>
    <t>Musée des Beaux-Arts de Bordeaux</t>
  </si>
  <si>
    <t>72 350</t>
  </si>
  <si>
    <t>Hockney - Matisse. Un paradis retrouvé</t>
  </si>
  <si>
    <t>Musée Matisse de Nice</t>
  </si>
  <si>
    <t>98 159</t>
  </si>
  <si>
    <t>Pas sommeil. La fête dans tous ses états</t>
  </si>
  <si>
    <t>Musée des Beaux-Arts de Rennes</t>
  </si>
  <si>
    <t>59 200</t>
  </si>
  <si>
    <t>Végétal - L'École de la beauté</t>
  </si>
  <si>
    <t>Palais des Beaux-Arts - Beaux-Arts de Paris</t>
  </si>
  <si>
    <t>43 420</t>
  </si>
  <si>
    <t>Tapisserie de Bayeux : Fragments d'histoires</t>
  </si>
  <si>
    <t>Musée d'Art et d'Histoire Baron Gérard, Bayeux</t>
  </si>
  <si>
    <t>18 000</t>
  </si>
  <si>
    <t>Expositions temporaires clôturées entre septembre et décembre 2022</t>
  </si>
  <si>
    <t>Expositions</t>
  </si>
  <si>
    <t>Musée</t>
  </si>
  <si>
    <t>Edvard Munch. Un poème de vie, d'amour et de mort</t>
  </si>
  <si>
    <t>Musée d'Orsay</t>
  </si>
  <si>
    <t>Pop air</t>
  </si>
  <si>
    <t>Grande halle de la Villette</t>
  </si>
  <si>
    <t>Gaudi</t>
  </si>
  <si>
    <t>Aristide Maillol</t>
  </si>
  <si>
    <t>Le décor impressionniste</t>
  </si>
  <si>
    <t>Sam Szafran</t>
  </si>
  <si>
    <t>Pharaon des Deux Terres. L’épopée africaine des rois de Napata</t>
  </si>
  <si>
    <t>Musée du Louvre</t>
  </si>
  <si>
    <t>Tintin. L'aventure immersive</t>
  </si>
  <si>
    <t>Maya Ruiz Picasso, fille de Pablo</t>
  </si>
  <si>
    <t>Années 80 : Mode, design et graphisme en France</t>
  </si>
  <si>
    <t>Musée des arts décoratifs - MAD</t>
  </si>
  <si>
    <t>Kimono</t>
  </si>
  <si>
    <t>Musée du Quai Branly - Jacques Chirac</t>
  </si>
  <si>
    <t>Les Choses. Une histoire de la nature morte</t>
  </si>
  <si>
    <t>Gérard Garouste</t>
  </si>
  <si>
    <t>Frida Kahlo. Au-delà des apparences</t>
  </si>
  <si>
    <t>Palais Galliera</t>
  </si>
  <si>
    <t>Oskar Kokoschka. Un fauve à Vienne</t>
  </si>
  <si>
    <t>Musée d'art moderne de Paris</t>
  </si>
  <si>
    <t>Charles Ray</t>
  </si>
  <si>
    <t>Alice Neel. Un regard engagé</t>
  </si>
  <si>
    <t>Black Indians de la Nouvelle Orléans</t>
  </si>
  <si>
    <t>Pionnières. Artistes dans le Paris des Années folles</t>
  </si>
  <si>
    <t>Evolutions industrielles</t>
  </si>
  <si>
    <t>Cité des sciences et de l'industrie</t>
  </si>
  <si>
    <t>Art Déco. France-Amérique du nord</t>
  </si>
  <si>
    <t>Cité de l'architecture et du patrimoine</t>
  </si>
  <si>
    <t>Arts et préhistoire</t>
  </si>
  <si>
    <t>Musée de l'Homme</t>
  </si>
  <si>
    <t>Albert Edelfelt, Lumières de Finlande</t>
  </si>
  <si>
    <t>Petit Palais, musée des beaux-arts de la ville de Paris</t>
  </si>
  <si>
    <t>Fragile !</t>
  </si>
  <si>
    <t>Gold</t>
  </si>
  <si>
    <t>Musée Yves Saint laurent</t>
  </si>
  <si>
    <t>Giovanni Boldini. Les plaisir et les jours</t>
  </si>
  <si>
    <t>Signac collectionneur</t>
  </si>
  <si>
    <t>Rêve d'Egypte</t>
  </si>
  <si>
    <t>Füssli. Entre rêve et fantastique</t>
  </si>
  <si>
    <t>Cloture</t>
  </si>
  <si>
    <t>Date ouverture</t>
  </si>
  <si>
    <t>Jours</t>
  </si>
  <si>
    <t>Visiteurs/jour</t>
  </si>
  <si>
    <t>janv</t>
  </si>
  <si>
    <t>févr</t>
  </si>
  <si>
    <t>mars</t>
  </si>
  <si>
    <t>avr</t>
  </si>
  <si>
    <t>mai</t>
  </si>
  <si>
    <t>juin</t>
  </si>
  <si>
    <t>juil</t>
  </si>
  <si>
    <t>août</t>
  </si>
  <si>
    <t>sept</t>
  </si>
  <si>
    <t>oct</t>
  </si>
  <si>
    <t>nov</t>
  </si>
  <si>
    <t>déc</t>
  </si>
  <si>
    <t>Thierry Mugler, Couturissime</t>
  </si>
  <si>
    <t>Jean-Michel Othoniel, Le théorème de Narcisse</t>
  </si>
  <si>
    <t>Petit-Palais - musée des beaux-arts de la ville de Paris</t>
  </si>
  <si>
    <t>musée national d'art moderne (centre national d’art et de culture Georges Pompidou)</t>
  </si>
  <si>
    <t>établissement public du musée et du domaine national de Versailles</t>
  </si>
  <si>
    <t>Baselitz - La rétrospective</t>
  </si>
  <si>
    <t>Une histoire de la mode. Collectionner</t>
  </si>
  <si>
    <t>Palais Galliera, musée de la mode de la ville de Paris</t>
  </si>
  <si>
    <t>Picasso Rodin</t>
  </si>
  <si>
    <t>Vivian Maier</t>
  </si>
  <si>
    <t xml:space="preserve">Les animaux du Roi </t>
  </si>
  <si>
    <t>Paris - Athènes. Naissance de la Grèce moderne (1675-1919)</t>
  </si>
  <si>
    <t>Ilya Répine, peindre l'âme russe</t>
  </si>
  <si>
    <t>Le peuple de demain</t>
  </si>
  <si>
    <t>Cartier et les arts de l'Islam</t>
  </si>
  <si>
    <t>Botticelli</t>
  </si>
  <si>
    <t>Musée Jacquemart André</t>
  </si>
  <si>
    <t>Ultime combat. Arts martiaux d'Asie</t>
  </si>
  <si>
    <t>Musée du quai Branly - Jacques Chirac</t>
  </si>
  <si>
    <t>Chaïm Soutine/ Willem de Kooning</t>
  </si>
  <si>
    <t>Enfin le cinéma ! Arts, images et spectacles en France</t>
  </si>
  <si>
    <t>Nombre d'expositions (2021 et 2022)</t>
  </si>
  <si>
    <t>Nombre d'expositions commencées en 2022 se poursuivant sur 2023</t>
  </si>
  <si>
    <t>Nombre d'expositions commencées en 2022 se terminant en 2022</t>
  </si>
  <si>
    <t>Nombre d'expositions commencées en 2021 se terminant en 2022</t>
  </si>
  <si>
    <t>Fréquentation des expositions commencées en 2022 se terminant en 2022</t>
  </si>
  <si>
    <t>Fréquentation des expositions commencées en 2022 se poursuivant en 2023</t>
  </si>
  <si>
    <t>Complément</t>
  </si>
  <si>
    <t>calculs</t>
  </si>
  <si>
    <t>Année 2022</t>
  </si>
  <si>
    <t>Fiche musées et expositions : tableau 3
Fréquentation des expositions temporaires parisiennes ayant attiré plus de 100 000 visiteurs en 2022-2023</t>
  </si>
  <si>
    <t>Equirépartition mensuelle des entrées</t>
  </si>
  <si>
    <t>Fréquentation des expositions commencées en 2021 se terminant en 2022</t>
  </si>
  <si>
    <t>Fréquentation totale des expositions en 2022</t>
  </si>
  <si>
    <t>Total/mois</t>
  </si>
  <si>
    <t>Total total /mois</t>
  </si>
  <si>
    <t>nb expo</t>
  </si>
  <si>
    <t>Graphique 2 : Fréquentation totale des expositions parisiennes (de plus de 100 000 entrées) par mois en 2022</t>
  </si>
  <si>
    <t>Graphique 2 - Fréquentation totale des expositions parisiennes (de plus de 100 000 entrées) par mois en 2022</t>
  </si>
  <si>
    <t>Expositions 2022 (+/- 3 mois)</t>
  </si>
  <si>
    <t>Début</t>
  </si>
  <si>
    <t>Fin</t>
  </si>
  <si>
    <t>Visiteurs</t>
  </si>
  <si>
    <t>La collection Morozov. Icônes de l’art moderne</t>
  </si>
  <si>
    <t>Edvard Munch. Un poème de vie, d’amour et de mort</t>
  </si>
  <si>
    <t>Grande Halle de la Villette</t>
  </si>
  <si>
    <t>Gaudí</t>
  </si>
  <si>
    <t>Le décor impressionniste. Aux sources des Nymphéas</t>
  </si>
  <si>
    <t>Rosa Bonheur (1822-1899)</t>
  </si>
  <si>
    <t>Sam Szafran. Obsessions d’un peintre</t>
  </si>
  <si>
    <t>Pharaon des deux terres. L’épopée africaine des rois de Napata</t>
  </si>
  <si>
    <t>Musée national Picasso – Paris</t>
  </si>
  <si>
    <t>Nouveaux chefs-d’œuvre. La dation Maya Ruiz-Picasso</t>
  </si>
  <si>
    <t>Simon, Super lapin en mission : protection des fonds marins</t>
  </si>
  <si>
    <t>Aquarium de Paris</t>
  </si>
  <si>
    <t>Il était une fois... l’Océan</t>
  </si>
  <si>
    <t>Banquet</t>
  </si>
  <si>
    <t>Centre Pompidou – Musée national d'Art moderne</t>
  </si>
  <si>
    <t>Baselitz – La rétrospective</t>
  </si>
  <si>
    <t>Picasso-Rodin</t>
  </si>
  <si>
    <t>Black Indians de La Nouvelle-Orléans</t>
  </si>
  <si>
    <t>Musée du quai Branly – Jacques Chirac</t>
  </si>
  <si>
    <t>Durée</t>
  </si>
  <si>
    <t>Total 2022</t>
  </si>
  <si>
    <t>moyenne 2022</t>
  </si>
  <si>
    <t>Sources : Repères de l'activité touristique, Visit Paris Région, Comité régional du tourisme 2020, 2022 et 2023 (Choose Paris Region ; Patrimostat, DEPS, Ministère de la Culture, 2023.</t>
  </si>
  <si>
    <t>Expositions  (+/- 3 mois)</t>
  </si>
  <si>
    <t>Total des moins de 1 million d'entrées</t>
  </si>
  <si>
    <t>Tableau 2 - Fréquentation et durée totales des quinze expositions les plus fréquentées en Ile-de-France, débutées en 2019, 2021 et en 2022</t>
  </si>
  <si>
    <t>Total des moins de 1 million d'entrées (13)</t>
  </si>
  <si>
    <t>Total des moins de 1 million d'entrées (14)</t>
  </si>
  <si>
    <t>Nombre d'entrées
par jour</t>
  </si>
  <si>
    <t>Nombre d'entrées</t>
  </si>
  <si>
    <t>moyenne par exposition</t>
  </si>
  <si>
    <t>par jour</t>
  </si>
  <si>
    <t>en jours calendaires</t>
  </si>
  <si>
    <t>Ensemble
(15 expositions)</t>
  </si>
  <si>
    <t>dont expositions de moins de 1 million d'entrées (13)</t>
  </si>
  <si>
    <t>dont expositions de moins de 1 million d'entrées (14)</t>
  </si>
  <si>
    <t>Sources : Repères de l'activité touristique, Visit Paris Région, Comité régional du tourisme 2020, 2022 et 2023 (Choose Paris Region) ; Patrimostat, DEPS, Ministère de la Culture, 2023.</t>
  </si>
  <si>
    <t>NB : Les expositions prises en compte peuvent commencer jusqu'à 3 mois avant le début de l'année considérée (à partir d'octobre de l'année précédente) et se terminer jusqu'à 3 mois après (jusqu'à mars de l'année suivante)</t>
  </si>
  <si>
    <t>Tableau 2 : Les quinze expositions les plus fréquentées en Ile-de-France, en 2019, 2021 et 2022</t>
  </si>
  <si>
    <t>Nombre d'entrées de résidents</t>
  </si>
  <si>
    <t>Nombre d'entrées des résidents</t>
  </si>
  <si>
    <t>Nombre d'entrées totales</t>
  </si>
  <si>
    <t>Musée d’histoire de Nantes (Château des ducs de Bretagne)</t>
  </si>
  <si>
    <t>Musée de l’air et de l’espace (hors SIAE)</t>
  </si>
  <si>
    <t>Champ : 28 lieux patrimoniaux</t>
  </si>
  <si>
    <r>
      <t xml:space="preserve">Part des entrées
des non-résidents
</t>
    </r>
    <r>
      <rPr>
        <sz val="8"/>
        <rFont val="Arial"/>
        <family val="2"/>
      </rPr>
      <t>(%)</t>
    </r>
  </si>
  <si>
    <t>Graphique 3 - Nombre d'entrées de visiteurs résidents et non-résidents dans 28 musées et sites patrimoniaux 
de 2017 à 2022</t>
  </si>
  <si>
    <t>Champ : 28 lieux patrimoniaux pour lesquels les données sont disponibles sur les quatre années</t>
  </si>
  <si>
    <t>Tableau 1 - Part et nombre des visiteurs non-résidents en France dans les entrées totales de 2019 à 2022, vingt huit lieux patrimoniaux documentés sur la série temporelle</t>
  </si>
  <si>
    <t>Graphique 6 : Fréquentation 2019 à 2022 des sites culturels franciliens de plus d'un million d'entrées en 2019 (en millions)</t>
  </si>
  <si>
    <t>Graphique 3 : Nombre d'entrées de visiteurs résidents et non-résidents dans 28 musées et sites patrimoniaux 
de 2017 à 2022</t>
  </si>
  <si>
    <t>Graphique 6 : Fréquentation 2019, 2020, 2021 et 2022 des sites culturels franciliens de plus d'un million d'entrées en 2019 et variations absolues cumulées sur 2020, 2021 et 2022 (en millions)</t>
  </si>
  <si>
    <t>Graphique 5 : Part des visiteurs non-résidents dans les entrées totales de 2019 à 2022 de vingt huit lieux patrimoniaux documentés</t>
  </si>
  <si>
    <t>Tableau 1 : Nombre et part dans les entrées totales des visiteurs non-résidents de vingt huit lieux patrimoniaux documentés de 2017 à 2022</t>
  </si>
  <si>
    <t>Graphique 4 : Nombre d'entrées de visiteurs résidents et non-résidents dans 28 musées et sites patrimoniaux 
de 2017 à 2022</t>
  </si>
  <si>
    <t>Liste des établiissements (fréquentation 2022)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</si>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</sst>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.00\ [$€-1]_-;\-* #,##0.00\ [$€-1]_-;_-* &quot;-&quot;??\ [$€-1]_-"/>
    <numFmt numFmtId="166" formatCode="mmmm\-yy"/>
    <numFmt numFmtId="167" formatCode="_-* #,##0.00\ _F_-;\-* #,##0.00\ _F_-;_-* &quot;-&quot;??\ _F_-;_-@_-"/>
    <numFmt numFmtId="168" formatCode="[$-40C]d\-mmm\-yy;@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color theme="1"/>
      <name val="Courier New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9" tint="-0.249977111117893"/>
      <name val="Arial"/>
      <family val="2"/>
    </font>
    <font>
      <sz val="8"/>
      <name val="Calibri"/>
      <family val="2"/>
      <scheme val="minor"/>
    </font>
    <font>
      <sz val="8"/>
      <name val="Calibri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color rgb="FF0070C0"/>
      <name val="Arial"/>
      <family val="2"/>
    </font>
    <font>
      <sz val="8"/>
      <color rgb="FFFF0000"/>
      <name val="Arial"/>
      <family val="2"/>
    </font>
    <font>
      <u/>
      <sz val="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rgb="FF002060"/>
      <name val="Arial"/>
      <family val="2"/>
    </font>
    <font>
      <b/>
      <sz val="8"/>
      <color theme="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0">
    <xf numFmtId="0" fontId="0" fillId="0" borderId="0"/>
    <xf numFmtId="0" fontId="7" fillId="0" borderId="0"/>
    <xf numFmtId="0" fontId="8" fillId="0" borderId="0"/>
    <xf numFmtId="9" fontId="7" fillId="0" borderId="0" applyFont="0" applyFill="0" applyBorder="0" applyAlignment="0" applyProtection="0"/>
    <xf numFmtId="0" fontId="6" fillId="0" borderId="0"/>
    <xf numFmtId="0" fontId="9" fillId="0" borderId="0"/>
    <xf numFmtId="0" fontId="5" fillId="0" borderId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9" fontId="21" fillId="0" borderId="0" applyFont="0" applyFill="0" applyBorder="0" applyAlignment="0" applyProtection="0"/>
  </cellStyleXfs>
  <cellXfs count="22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Fill="1" applyBorder="1" applyProtection="1">
      <protection locked="0"/>
    </xf>
    <xf numFmtId="0" fontId="17" fillId="0" borderId="0" xfId="0" applyFont="1" applyAlignment="1">
      <alignment horizontal="center"/>
    </xf>
    <xf numFmtId="0" fontId="12" fillId="0" borderId="0" xfId="0" applyFont="1" applyFill="1" applyBorder="1"/>
    <xf numFmtId="0" fontId="12" fillId="0" borderId="0" xfId="0" applyFont="1" applyBorder="1"/>
    <xf numFmtId="0" fontId="17" fillId="0" borderId="0" xfId="0" applyFont="1" applyFill="1" applyBorder="1" applyAlignment="1">
      <alignment horizontal="center"/>
    </xf>
    <xf numFmtId="0" fontId="14" fillId="0" borderId="0" xfId="58"/>
    <xf numFmtId="0" fontId="13" fillId="0" borderId="0" xfId="0" applyFont="1" applyAlignment="1"/>
    <xf numFmtId="3" fontId="12" fillId="0" borderId="0" xfId="0" applyNumberFormat="1" applyFont="1" applyFill="1" applyBorder="1"/>
    <xf numFmtId="3" fontId="12" fillId="0" borderId="0" xfId="0" applyNumberFormat="1" applyFont="1" applyFill="1"/>
    <xf numFmtId="3" fontId="16" fillId="0" borderId="0" xfId="0" applyNumberFormat="1" applyFont="1" applyFill="1"/>
    <xf numFmtId="3" fontId="12" fillId="0" borderId="8" xfId="0" applyNumberFormat="1" applyFont="1" applyFill="1" applyBorder="1"/>
    <xf numFmtId="0" fontId="18" fillId="0" borderId="0" xfId="0" applyFont="1"/>
    <xf numFmtId="3" fontId="16" fillId="0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justify" vertical="center"/>
    </xf>
    <xf numFmtId="0" fontId="12" fillId="0" borderId="0" xfId="0" applyFont="1" applyAlignment="1">
      <alignment horizontal="left"/>
    </xf>
    <xf numFmtId="17" fontId="0" fillId="0" borderId="11" xfId="0" applyNumberFormat="1" applyBorder="1"/>
    <xf numFmtId="0" fontId="0" fillId="0" borderId="11" xfId="0" applyBorder="1"/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vertical="center"/>
    </xf>
    <xf numFmtId="0" fontId="13" fillId="0" borderId="11" xfId="0" applyFont="1" applyFill="1" applyBorder="1" applyAlignment="1" applyProtection="1">
      <alignment horizontal="center" wrapText="1"/>
      <protection locked="0"/>
    </xf>
    <xf numFmtId="3" fontId="12" fillId="0" borderId="11" xfId="0" applyNumberFormat="1" applyFont="1" applyFill="1" applyBorder="1" applyAlignment="1" applyProtection="1">
      <alignment horizontal="right" vertical="center"/>
      <protection locked="0"/>
    </xf>
    <xf numFmtId="3" fontId="12" fillId="0" borderId="11" xfId="0" applyNumberFormat="1" applyFont="1" applyFill="1" applyBorder="1" applyAlignment="1" applyProtection="1">
      <alignment horizontal="right"/>
      <protection locked="0"/>
    </xf>
    <xf numFmtId="3" fontId="12" fillId="0" borderId="11" xfId="0" applyNumberFormat="1" applyFont="1" applyFill="1" applyBorder="1" applyAlignment="1" applyProtection="1">
      <alignment vertical="center"/>
      <protection locked="0"/>
    </xf>
    <xf numFmtId="0" fontId="12" fillId="0" borderId="11" xfId="0" applyFont="1" applyFill="1" applyBorder="1" applyAlignment="1" applyProtection="1">
      <protection locked="0"/>
    </xf>
    <xf numFmtId="0" fontId="12" fillId="0" borderId="11" xfId="0" applyFont="1" applyFill="1" applyBorder="1" applyAlignment="1" applyProtection="1">
      <alignment vertical="center" wrapText="1"/>
      <protection locked="0"/>
    </xf>
    <xf numFmtId="0" fontId="12" fillId="0" borderId="11" xfId="0" applyFont="1" applyFill="1" applyBorder="1" applyAlignment="1" applyProtection="1">
      <alignment vertical="center"/>
      <protection locked="0"/>
    </xf>
    <xf numFmtId="3" fontId="12" fillId="0" borderId="11" xfId="0" applyNumberFormat="1" applyFont="1" applyFill="1" applyBorder="1" applyAlignment="1" applyProtection="1">
      <alignment vertical="center" wrapText="1"/>
      <protection locked="0"/>
    </xf>
    <xf numFmtId="0" fontId="20" fillId="0" borderId="0" xfId="0" applyFont="1"/>
    <xf numFmtId="3" fontId="12" fillId="0" borderId="11" xfId="0" applyNumberFormat="1" applyFont="1" applyFill="1" applyBorder="1"/>
    <xf numFmtId="0" fontId="12" fillId="0" borderId="0" xfId="0" applyFont="1" applyAlignment="1">
      <alignment vertical="center"/>
    </xf>
    <xf numFmtId="3" fontId="12" fillId="2" borderId="11" xfId="0" applyNumberFormat="1" applyFont="1" applyFill="1" applyBorder="1"/>
    <xf numFmtId="3" fontId="16" fillId="0" borderId="0" xfId="0" applyNumberFormat="1" applyFont="1" applyAlignment="1">
      <alignment horizontal="right"/>
    </xf>
    <xf numFmtId="14" fontId="16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1" fontId="12" fillId="0" borderId="0" xfId="0" applyNumberFormat="1" applyFont="1"/>
    <xf numFmtId="0" fontId="12" fillId="0" borderId="0" xfId="0" applyFont="1" applyAlignment="1">
      <alignment horizontal="right"/>
    </xf>
    <xf numFmtId="0" fontId="16" fillId="0" borderId="0" xfId="0" applyFont="1"/>
    <xf numFmtId="3" fontId="12" fillId="0" borderId="0" xfId="0" applyNumberFormat="1" applyFont="1"/>
    <xf numFmtId="3" fontId="23" fillId="0" borderId="0" xfId="0" applyNumberFormat="1" applyFont="1"/>
    <xf numFmtId="3" fontId="12" fillId="3" borderId="0" xfId="0" applyNumberFormat="1" applyFont="1" applyFill="1"/>
    <xf numFmtId="0" fontId="24" fillId="0" borderId="0" xfId="58" applyFont="1"/>
    <xf numFmtId="0" fontId="13" fillId="4" borderId="11" xfId="0" applyFont="1" applyFill="1" applyBorder="1" applyAlignment="1" applyProtection="1">
      <alignment horizontal="center" wrapText="1"/>
      <protection locked="0"/>
    </xf>
    <xf numFmtId="3" fontId="12" fillId="4" borderId="11" xfId="0" applyNumberFormat="1" applyFont="1" applyFill="1" applyBorder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1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3" fontId="0" fillId="0" borderId="0" xfId="0" applyNumberFormat="1"/>
    <xf numFmtId="168" fontId="12" fillId="0" borderId="0" xfId="0" applyNumberFormat="1" applyFont="1"/>
    <xf numFmtId="0" fontId="12" fillId="5" borderId="0" xfId="0" applyFont="1" applyFill="1"/>
    <xf numFmtId="168" fontId="12" fillId="5" borderId="0" xfId="0" applyNumberFormat="1" applyFont="1" applyFill="1"/>
    <xf numFmtId="1" fontId="12" fillId="5" borderId="0" xfId="0" applyNumberFormat="1" applyFont="1" applyFill="1"/>
    <xf numFmtId="3" fontId="12" fillId="5" borderId="0" xfId="0" applyNumberFormat="1" applyFont="1" applyFill="1"/>
    <xf numFmtId="0" fontId="13" fillId="0" borderId="0" xfId="0" applyFont="1" applyAlignment="1">
      <alignment horizontal="right" vertical="center" wrapText="1"/>
    </xf>
    <xf numFmtId="168" fontId="13" fillId="5" borderId="0" xfId="0" applyNumberFormat="1" applyFont="1" applyFill="1"/>
    <xf numFmtId="168" fontId="13" fillId="0" borderId="0" xfId="0" applyNumberFormat="1" applyFont="1"/>
    <xf numFmtId="1" fontId="23" fillId="0" borderId="0" xfId="0" applyNumberFormat="1" applyFont="1"/>
    <xf numFmtId="3" fontId="12" fillId="6" borderId="0" xfId="0" applyNumberFormat="1" applyFont="1" applyFill="1"/>
    <xf numFmtId="3" fontId="27" fillId="0" borderId="0" xfId="0" applyNumberFormat="1" applyFont="1"/>
    <xf numFmtId="0" fontId="27" fillId="0" borderId="0" xfId="0" applyFont="1"/>
    <xf numFmtId="0" fontId="13" fillId="5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vertical="center" wrapText="1"/>
    </xf>
    <xf numFmtId="14" fontId="12" fillId="5" borderId="0" xfId="0" applyNumberFormat="1" applyFont="1" applyFill="1" applyAlignment="1">
      <alignment vertical="center" wrapText="1"/>
    </xf>
    <xf numFmtId="0" fontId="13" fillId="5" borderId="0" xfId="0" applyFont="1" applyFill="1" applyAlignment="1">
      <alignment horizontal="right" vertical="center" wrapText="1"/>
    </xf>
    <xf numFmtId="0" fontId="12" fillId="5" borderId="0" xfId="0" applyFont="1" applyFill="1" applyAlignment="1">
      <alignment horizontal="right" vertical="center" wrapText="1"/>
    </xf>
    <xf numFmtId="0" fontId="12" fillId="3" borderId="0" xfId="0" applyFont="1" applyFill="1"/>
    <xf numFmtId="168" fontId="12" fillId="3" borderId="0" xfId="0" applyNumberFormat="1" applyFont="1" applyFill="1"/>
    <xf numFmtId="1" fontId="23" fillId="3" borderId="0" xfId="0" applyNumberFormat="1" applyFont="1" applyFill="1"/>
    <xf numFmtId="3" fontId="23" fillId="3" borderId="0" xfId="0" applyNumberFormat="1" applyFont="1" applyFill="1"/>
    <xf numFmtId="3" fontId="0" fillId="3" borderId="0" xfId="0" applyNumberFormat="1" applyFill="1"/>
    <xf numFmtId="0" fontId="2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13" xfId="0" applyFont="1" applyBorder="1" applyAlignment="1">
      <alignment horizontal="left"/>
    </xf>
    <xf numFmtId="3" fontId="13" fillId="0" borderId="13" xfId="0" applyNumberFormat="1" applyFont="1" applyBorder="1"/>
    <xf numFmtId="0" fontId="12" fillId="0" borderId="1" xfId="0" applyFont="1" applyBorder="1" applyAlignment="1">
      <alignment horizontal="left"/>
    </xf>
    <xf numFmtId="9" fontId="0" fillId="0" borderId="0" xfId="59" applyFont="1"/>
    <xf numFmtId="9" fontId="27" fillId="0" borderId="0" xfId="59" applyFont="1"/>
    <xf numFmtId="9" fontId="0" fillId="0" borderId="14" xfId="59" applyFont="1" applyBorder="1"/>
    <xf numFmtId="9" fontId="0" fillId="0" borderId="15" xfId="59" applyFont="1" applyBorder="1"/>
    <xf numFmtId="9" fontId="0" fillId="0" borderId="16" xfId="59" applyFont="1" applyBorder="1"/>
    <xf numFmtId="0" fontId="23" fillId="0" borderId="0" xfId="0" applyFont="1" applyFill="1" applyBorder="1" applyAlignment="1">
      <alignment horizontal="center"/>
    </xf>
    <xf numFmtId="0" fontId="8" fillId="0" borderId="13" xfId="0" applyFont="1" applyBorder="1"/>
    <xf numFmtId="0" fontId="0" fillId="0" borderId="13" xfId="0" applyBorder="1"/>
    <xf numFmtId="0" fontId="0" fillId="5" borderId="13" xfId="0" applyFill="1" applyBorder="1" applyAlignment="1">
      <alignment horizontal="right"/>
    </xf>
    <xf numFmtId="3" fontId="27" fillId="5" borderId="13" xfId="0" applyNumberFormat="1" applyFont="1" applyFill="1" applyBorder="1"/>
    <xf numFmtId="0" fontId="0" fillId="9" borderId="0" xfId="0" applyFill="1" applyAlignment="1">
      <alignment horizontal="right"/>
    </xf>
    <xf numFmtId="3" fontId="27" fillId="9" borderId="0" xfId="0" applyNumberFormat="1" applyFont="1" applyFill="1"/>
    <xf numFmtId="0" fontId="23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Fill="1"/>
    <xf numFmtId="0" fontId="13" fillId="0" borderId="17" xfId="0" applyFont="1" applyFill="1" applyBorder="1" applyAlignment="1" applyProtection="1">
      <alignment horizontal="center" wrapText="1"/>
      <protection locked="0"/>
    </xf>
    <xf numFmtId="3" fontId="12" fillId="0" borderId="17" xfId="0" applyNumberFormat="1" applyFont="1" applyFill="1" applyBorder="1" applyAlignment="1" applyProtection="1">
      <alignment horizontal="right" vertical="center"/>
      <protection locked="0"/>
    </xf>
    <xf numFmtId="3" fontId="12" fillId="0" borderId="17" xfId="0" applyNumberFormat="1" applyFont="1" applyFill="1" applyBorder="1" applyAlignment="1" applyProtection="1">
      <alignment horizontal="right"/>
      <protection locked="0"/>
    </xf>
    <xf numFmtId="0" fontId="13" fillId="0" borderId="19" xfId="0" applyFont="1" applyFill="1" applyBorder="1" applyAlignment="1" applyProtection="1">
      <alignment horizontal="center" wrapText="1"/>
      <protection locked="0"/>
    </xf>
    <xf numFmtId="0" fontId="8" fillId="7" borderId="0" xfId="0" applyFont="1" applyFill="1"/>
    <xf numFmtId="0" fontId="12" fillId="7" borderId="0" xfId="0" applyFont="1" applyFill="1"/>
    <xf numFmtId="0" fontId="28" fillId="7" borderId="4" xfId="0" applyFont="1" applyFill="1" applyBorder="1" applyAlignment="1">
      <alignment vertical="center"/>
    </xf>
    <xf numFmtId="0" fontId="28" fillId="7" borderId="0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vertical="center"/>
    </xf>
    <xf numFmtId="0" fontId="28" fillId="7" borderId="5" xfId="0" applyFont="1" applyFill="1" applyBorder="1" applyAlignment="1">
      <alignment vertical="center"/>
    </xf>
    <xf numFmtId="0" fontId="28" fillId="7" borderId="1" xfId="0" applyFont="1" applyFill="1" applyBorder="1" applyAlignment="1">
      <alignment horizontal="center" vertical="center" wrapText="1"/>
    </xf>
    <xf numFmtId="0" fontId="12" fillId="7" borderId="2" xfId="0" applyFont="1" applyFill="1" applyBorder="1"/>
    <xf numFmtId="0" fontId="12" fillId="7" borderId="6" xfId="0" applyFont="1" applyFill="1" applyBorder="1"/>
    <xf numFmtId="3" fontId="12" fillId="7" borderId="0" xfId="0" applyNumberFormat="1" applyFont="1" applyFill="1" applyBorder="1"/>
    <xf numFmtId="0" fontId="12" fillId="7" borderId="0" xfId="0" applyFont="1" applyFill="1" applyBorder="1"/>
    <xf numFmtId="0" fontId="12" fillId="7" borderId="4" xfId="0" applyFont="1" applyFill="1" applyBorder="1"/>
    <xf numFmtId="0" fontId="18" fillId="7" borderId="0" xfId="0" applyFont="1" applyFill="1" applyBorder="1" applyAlignment="1">
      <alignment horizontal="right"/>
    </xf>
    <xf numFmtId="3" fontId="12" fillId="7" borderId="3" xfId="0" applyNumberFormat="1" applyFont="1" applyFill="1" applyBorder="1"/>
    <xf numFmtId="0" fontId="12" fillId="7" borderId="1" xfId="0" applyFont="1" applyFill="1" applyBorder="1"/>
    <xf numFmtId="0" fontId="12" fillId="7" borderId="5" xfId="0" applyFont="1" applyFill="1" applyBorder="1"/>
    <xf numFmtId="0" fontId="28" fillId="7" borderId="4" xfId="0" applyFont="1" applyFill="1" applyBorder="1" applyAlignment="1">
      <alignment horizontal="right"/>
    </xf>
    <xf numFmtId="3" fontId="28" fillId="7" borderId="0" xfId="0" applyNumberFormat="1" applyFont="1" applyFill="1"/>
    <xf numFmtId="0" fontId="12" fillId="7" borderId="4" xfId="0" applyFont="1" applyFill="1" applyBorder="1" applyAlignment="1">
      <alignment horizontal="right"/>
    </xf>
    <xf numFmtId="3" fontId="12" fillId="7" borderId="0" xfId="0" applyNumberFormat="1" applyFont="1" applyFill="1"/>
    <xf numFmtId="0" fontId="28" fillId="7" borderId="6" xfId="0" applyFont="1" applyFill="1" applyBorder="1" applyAlignment="1">
      <alignment horizontal="right"/>
    </xf>
    <xf numFmtId="3" fontId="28" fillId="7" borderId="2" xfId="0" applyNumberFormat="1" applyFont="1" applyFill="1" applyBorder="1"/>
    <xf numFmtId="0" fontId="18" fillId="7" borderId="0" xfId="0" applyFont="1" applyFill="1"/>
    <xf numFmtId="0" fontId="12" fillId="0" borderId="22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14" fontId="12" fillId="0" borderId="22" xfId="0" applyNumberFormat="1" applyFont="1" applyBorder="1" applyAlignment="1">
      <alignment vertical="center" wrapText="1"/>
    </xf>
    <xf numFmtId="3" fontId="12" fillId="0" borderId="22" xfId="0" applyNumberFormat="1" applyFont="1" applyBorder="1" applyAlignment="1">
      <alignment vertical="center" wrapText="1"/>
    </xf>
    <xf numFmtId="3" fontId="18" fillId="7" borderId="3" xfId="0" applyNumberFormat="1" applyFont="1" applyFill="1" applyBorder="1"/>
    <xf numFmtId="0" fontId="8" fillId="0" borderId="0" xfId="0" applyFont="1" applyFill="1"/>
    <xf numFmtId="0" fontId="28" fillId="0" borderId="0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right"/>
    </xf>
    <xf numFmtId="3" fontId="20" fillId="0" borderId="1" xfId="0" applyNumberFormat="1" applyFont="1" applyFill="1" applyBorder="1"/>
    <xf numFmtId="0" fontId="20" fillId="0" borderId="23" xfId="0" applyFont="1" applyFill="1" applyBorder="1" applyAlignment="1">
      <alignment horizontal="right"/>
    </xf>
    <xf numFmtId="3" fontId="20" fillId="0" borderId="23" xfId="0" applyNumberFormat="1" applyFont="1" applyFill="1" applyBorder="1"/>
    <xf numFmtId="0" fontId="12" fillId="0" borderId="16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2" fillId="7" borderId="22" xfId="0" applyFont="1" applyFill="1" applyBorder="1" applyAlignment="1">
      <alignment vertical="center" wrapText="1"/>
    </xf>
    <xf numFmtId="0" fontId="12" fillId="7" borderId="21" xfId="0" applyFont="1" applyFill="1" applyBorder="1" applyAlignment="1">
      <alignment vertical="center" wrapText="1"/>
    </xf>
    <xf numFmtId="14" fontId="12" fillId="7" borderId="22" xfId="0" applyNumberFormat="1" applyFont="1" applyFill="1" applyBorder="1" applyAlignment="1">
      <alignment vertical="center" wrapText="1"/>
    </xf>
    <xf numFmtId="3" fontId="12" fillId="7" borderId="22" xfId="0" applyNumberFormat="1" applyFont="1" applyFill="1" applyBorder="1" applyAlignment="1">
      <alignment vertical="center" wrapText="1"/>
    </xf>
    <xf numFmtId="0" fontId="28" fillId="0" borderId="0" xfId="0" applyFont="1" applyFill="1"/>
    <xf numFmtId="0" fontId="28" fillId="0" borderId="1" xfId="0" applyFont="1" applyFill="1" applyBorder="1" applyAlignment="1">
      <alignment horizontal="right" vertical="center" wrapText="1"/>
    </xf>
    <xf numFmtId="3" fontId="16" fillId="0" borderId="0" xfId="0" applyNumberFormat="1" applyFont="1" applyFill="1" applyBorder="1"/>
    <xf numFmtId="0" fontId="29" fillId="8" borderId="0" xfId="0" applyFont="1" applyFill="1" applyBorder="1" applyAlignment="1">
      <alignment horizontal="right"/>
    </xf>
    <xf numFmtId="0" fontId="20" fillId="8" borderId="0" xfId="0" applyFont="1" applyFill="1" applyBorder="1" applyAlignment="1">
      <alignment horizontal="right"/>
    </xf>
    <xf numFmtId="3" fontId="20" fillId="8" borderId="0" xfId="0" applyNumberFormat="1" applyFont="1" applyFill="1" applyBorder="1"/>
    <xf numFmtId="3" fontId="16" fillId="8" borderId="0" xfId="0" applyNumberFormat="1" applyFont="1" applyFill="1" applyBorder="1"/>
    <xf numFmtId="3" fontId="13" fillId="8" borderId="0" xfId="0" applyNumberFormat="1" applyFont="1" applyFill="1" applyBorder="1"/>
    <xf numFmtId="3" fontId="13" fillId="0" borderId="2" xfId="0" applyNumberFormat="1" applyFont="1" applyFill="1" applyBorder="1"/>
    <xf numFmtId="3" fontId="16" fillId="0" borderId="2" xfId="0" applyNumberFormat="1" applyFont="1" applyFill="1" applyBorder="1"/>
    <xf numFmtId="0" fontId="20" fillId="0" borderId="0" xfId="0" applyFont="1" applyFill="1" applyBorder="1" applyAlignment="1">
      <alignment horizontal="right" wrapText="1"/>
    </xf>
    <xf numFmtId="3" fontId="12" fillId="0" borderId="0" xfId="0" applyNumberFormat="1" applyFont="1" applyAlignment="1"/>
    <xf numFmtId="3" fontId="13" fillId="0" borderId="0" xfId="0" applyNumberFormat="1" applyFont="1"/>
    <xf numFmtId="3" fontId="13" fillId="0" borderId="0" xfId="0" applyNumberFormat="1" applyFont="1" applyAlignment="1"/>
    <xf numFmtId="3" fontId="13" fillId="5" borderId="0" xfId="0" applyNumberFormat="1" applyFont="1" applyFill="1"/>
    <xf numFmtId="0" fontId="12" fillId="5" borderId="0" xfId="0" applyFont="1" applyFill="1" applyBorder="1"/>
    <xf numFmtId="0" fontId="20" fillId="5" borderId="0" xfId="0" applyFont="1" applyFill="1" applyBorder="1" applyAlignment="1">
      <alignment horizontal="right" wrapText="1"/>
    </xf>
    <xf numFmtId="3" fontId="13" fillId="5" borderId="3" xfId="0" applyNumberFormat="1" applyFont="1" applyFill="1" applyBorder="1"/>
    <xf numFmtId="3" fontId="13" fillId="0" borderId="3" xfId="0" applyNumberFormat="1" applyFont="1" applyBorder="1" applyAlignment="1"/>
    <xf numFmtId="3" fontId="13" fillId="0" borderId="3" xfId="0" applyNumberFormat="1" applyFont="1" applyBorder="1"/>
    <xf numFmtId="3" fontId="13" fillId="5" borderId="24" xfId="0" applyNumberFormat="1" applyFont="1" applyFill="1" applyBorder="1"/>
    <xf numFmtId="3" fontId="13" fillId="0" borderId="24" xfId="0" applyNumberFormat="1" applyFont="1" applyBorder="1" applyAlignment="1"/>
    <xf numFmtId="3" fontId="13" fillId="0" borderId="24" xfId="0" applyNumberFormat="1" applyFont="1" applyBorder="1"/>
    <xf numFmtId="0" fontId="16" fillId="0" borderId="24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wrapText="1"/>
    </xf>
    <xf numFmtId="0" fontId="16" fillId="0" borderId="18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left" vertical="top" wrapText="1"/>
    </xf>
    <xf numFmtId="0" fontId="16" fillId="5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wrapText="1"/>
    </xf>
    <xf numFmtId="0" fontId="30" fillId="0" borderId="0" xfId="58" applyFont="1" applyAlignment="1"/>
    <xf numFmtId="0" fontId="31" fillId="0" borderId="0" xfId="0" applyFont="1" applyFill="1"/>
    <xf numFmtId="0" fontId="31" fillId="0" borderId="0" xfId="0" applyFont="1"/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left"/>
    </xf>
    <xf numFmtId="3" fontId="12" fillId="0" borderId="2" xfId="0" applyNumberFormat="1" applyFont="1" applyFill="1" applyBorder="1"/>
    <xf numFmtId="0" fontId="12" fillId="0" borderId="4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9" fontId="12" fillId="0" borderId="3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2" fillId="0" borderId="4" xfId="0" applyNumberFormat="1" applyFont="1" applyFill="1" applyBorder="1" applyAlignment="1">
      <alignment horizontal="center" vertical="center"/>
    </xf>
    <xf numFmtId="9" fontId="12" fillId="0" borderId="0" xfId="0" applyNumberFormat="1" applyFont="1" applyFill="1" applyBorder="1" applyAlignment="1">
      <alignment horizontal="center" vertical="center"/>
    </xf>
    <xf numFmtId="9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wrapText="1"/>
    </xf>
    <xf numFmtId="0" fontId="8" fillId="0" borderId="2" xfId="0" applyFont="1" applyFill="1" applyBorder="1"/>
    <xf numFmtId="9" fontId="12" fillId="0" borderId="0" xfId="0" applyNumberFormat="1" applyFont="1" applyFill="1" applyAlignment="1">
      <alignment horizontal="center" vertical="center"/>
    </xf>
    <xf numFmtId="0" fontId="12" fillId="0" borderId="5" xfId="0" applyFont="1" applyBorder="1"/>
    <xf numFmtId="0" fontId="12" fillId="0" borderId="4" xfId="0" applyFont="1" applyBorder="1"/>
    <xf numFmtId="9" fontId="13" fillId="0" borderId="3" xfId="0" applyNumberFormat="1" applyFont="1" applyFill="1" applyBorder="1" applyAlignment="1">
      <alignment horizontal="center" vertical="center"/>
    </xf>
    <xf numFmtId="9" fontId="12" fillId="0" borderId="25" xfId="59" applyFont="1" applyFill="1" applyBorder="1" applyAlignment="1">
      <alignment horizontal="center"/>
    </xf>
    <xf numFmtId="3" fontId="12" fillId="0" borderId="4" xfId="0" applyNumberFormat="1" applyFont="1" applyFill="1" applyBorder="1" applyAlignment="1">
      <alignment horizontal="center"/>
    </xf>
    <xf numFmtId="3" fontId="12" fillId="0" borderId="5" xfId="0" applyNumberFormat="1" applyFont="1" applyFill="1" applyBorder="1" applyAlignment="1">
      <alignment horizontal="center" vertical="center"/>
    </xf>
    <xf numFmtId="9" fontId="13" fillId="0" borderId="25" xfId="59" applyFont="1" applyFill="1" applyBorder="1" applyAlignment="1">
      <alignment horizontal="center"/>
    </xf>
    <xf numFmtId="0" fontId="13" fillId="0" borderId="3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3" fontId="12" fillId="0" borderId="6" xfId="0" applyNumberFormat="1" applyFont="1" applyFill="1" applyBorder="1"/>
    <xf numFmtId="3" fontId="13" fillId="0" borderId="6" xfId="0" applyNumberFormat="1" applyFont="1" applyFill="1" applyBorder="1"/>
    <xf numFmtId="0" fontId="14" fillId="0" borderId="0" xfId="58" applyAlignment="1"/>
    <xf numFmtId="0" fontId="22" fillId="0" borderId="0" xfId="0" applyFont="1" applyAlignment="1">
      <alignment horizontal="left" vertical="top" wrapText="1"/>
    </xf>
    <xf numFmtId="3" fontId="16" fillId="0" borderId="7" xfId="0" applyNumberFormat="1" applyFont="1" applyFill="1" applyBorder="1" applyAlignment="1">
      <alignment horizontal="center" vertical="center" wrapText="1"/>
    </xf>
    <xf numFmtId="3" fontId="16" fillId="0" borderId="9" xfId="0" applyNumberFormat="1" applyFont="1" applyFill="1" applyBorder="1" applyAlignment="1">
      <alignment horizontal="center" vertical="center" wrapText="1"/>
    </xf>
    <xf numFmtId="3" fontId="16" fillId="0" borderId="1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8" fillId="0" borderId="11" xfId="0" quotePrefix="1" applyFont="1" applyBorder="1" applyAlignment="1">
      <alignment horizontal="center"/>
    </xf>
  </cellXfs>
  <cellStyles count="60">
    <cellStyle name="Euro" xfId="7" xr:uid="{00000000-0005-0000-0000-000000000000}"/>
    <cellStyle name="Euro 2" xfId="8" xr:uid="{00000000-0005-0000-0000-000001000000}"/>
    <cellStyle name="Lien hypertexte" xfId="58" builtinId="8"/>
    <cellStyle name="Lien hypertexte 2" xfId="32" xr:uid="{00000000-0005-0000-0000-000003000000}"/>
    <cellStyle name="Milliers 2" xfId="9" xr:uid="{00000000-0005-0000-0000-000004000000}"/>
    <cellStyle name="Milliers 3" xfId="10" xr:uid="{00000000-0005-0000-0000-000005000000}"/>
    <cellStyle name="Milliers 3 2" xfId="26" xr:uid="{00000000-0005-0000-0000-000006000000}"/>
    <cellStyle name="Milliers 3 2 2" xfId="41" xr:uid="{00000000-0005-0000-0000-000007000000}"/>
    <cellStyle name="Milliers 3 2 3" xfId="52" xr:uid="{00000000-0005-0000-0000-000008000000}"/>
    <cellStyle name="Milliers 3 3" xfId="37" xr:uid="{00000000-0005-0000-0000-000009000000}"/>
    <cellStyle name="Milliers 3 4" xfId="48" xr:uid="{00000000-0005-0000-0000-00000A000000}"/>
    <cellStyle name="Normal" xfId="0" builtinId="0"/>
    <cellStyle name="Normal 10" xfId="11" xr:uid="{00000000-0005-0000-0000-00000C000000}"/>
    <cellStyle name="Normal 11" xfId="12" xr:uid="{00000000-0005-0000-0000-00000D000000}"/>
    <cellStyle name="Normal 12" xfId="13" xr:uid="{00000000-0005-0000-0000-00000E000000}"/>
    <cellStyle name="Normal 13" xfId="6" xr:uid="{00000000-0005-0000-0000-00000F000000}"/>
    <cellStyle name="Normal 13 2" xfId="36" xr:uid="{00000000-0005-0000-0000-000010000000}"/>
    <cellStyle name="Normal 13 3" xfId="47" xr:uid="{00000000-0005-0000-0000-000011000000}"/>
    <cellStyle name="Normal 14" xfId="25" xr:uid="{00000000-0005-0000-0000-000012000000}"/>
    <cellStyle name="Normal 14 2" xfId="40" xr:uid="{00000000-0005-0000-0000-000013000000}"/>
    <cellStyle name="Normal 14 3" xfId="51" xr:uid="{00000000-0005-0000-0000-000014000000}"/>
    <cellStyle name="Normal 15" xfId="29" xr:uid="{00000000-0005-0000-0000-000015000000}"/>
    <cellStyle name="Normal 15 2" xfId="55" xr:uid="{00000000-0005-0000-0000-000016000000}"/>
    <cellStyle name="Normal 2" xfId="1" xr:uid="{00000000-0005-0000-0000-000017000000}"/>
    <cellStyle name="Normal 2 2" xfId="2" xr:uid="{00000000-0005-0000-0000-000018000000}"/>
    <cellStyle name="Normal 2 2 2" xfId="14" xr:uid="{00000000-0005-0000-0000-000019000000}"/>
    <cellStyle name="Normal 2 3" xfId="33" xr:uid="{00000000-0005-0000-0000-00001A000000}"/>
    <cellStyle name="Normal 2 4" xfId="44" xr:uid="{00000000-0005-0000-0000-00001B000000}"/>
    <cellStyle name="Normal 3" xfId="4" xr:uid="{00000000-0005-0000-0000-00001C000000}"/>
    <cellStyle name="Normal 3 2" xfId="16" xr:uid="{00000000-0005-0000-0000-00001D000000}"/>
    <cellStyle name="Normal 3 2 2" xfId="27" xr:uid="{00000000-0005-0000-0000-00001E000000}"/>
    <cellStyle name="Normal 3 2 2 2" xfId="42" xr:uid="{00000000-0005-0000-0000-00001F000000}"/>
    <cellStyle name="Normal 3 2 2 3" xfId="53" xr:uid="{00000000-0005-0000-0000-000020000000}"/>
    <cellStyle name="Normal 3 2 3" xfId="38" xr:uid="{00000000-0005-0000-0000-000021000000}"/>
    <cellStyle name="Normal 3 2 4" xfId="49" xr:uid="{00000000-0005-0000-0000-000022000000}"/>
    <cellStyle name="Normal 3 3" xfId="15" xr:uid="{00000000-0005-0000-0000-000023000000}"/>
    <cellStyle name="Normal 3 4" xfId="30" xr:uid="{00000000-0005-0000-0000-000024000000}"/>
    <cellStyle name="Normal 3 4 2" xfId="56" xr:uid="{00000000-0005-0000-0000-000025000000}"/>
    <cellStyle name="Normal 3 5" xfId="35" xr:uid="{00000000-0005-0000-0000-000026000000}"/>
    <cellStyle name="Normal 3 6" xfId="46" xr:uid="{00000000-0005-0000-0000-000027000000}"/>
    <cellStyle name="Normal 4" xfId="17" xr:uid="{00000000-0005-0000-0000-000028000000}"/>
    <cellStyle name="Normal 4 2" xfId="28" xr:uid="{00000000-0005-0000-0000-000029000000}"/>
    <cellStyle name="Normal 4 2 2" xfId="43" xr:uid="{00000000-0005-0000-0000-00002A000000}"/>
    <cellStyle name="Normal 4 2 3" xfId="54" xr:uid="{00000000-0005-0000-0000-00002B000000}"/>
    <cellStyle name="Normal 4 3" xfId="39" xr:uid="{00000000-0005-0000-0000-00002C000000}"/>
    <cellStyle name="Normal 4 4" xfId="50" xr:uid="{00000000-0005-0000-0000-00002D000000}"/>
    <cellStyle name="Normal 5" xfId="18" xr:uid="{00000000-0005-0000-0000-00002E000000}"/>
    <cellStyle name="Normal 5 2" xfId="5" xr:uid="{00000000-0005-0000-0000-00002F000000}"/>
    <cellStyle name="Normal 6" xfId="19" xr:uid="{00000000-0005-0000-0000-000030000000}"/>
    <cellStyle name="Normal 7" xfId="20" xr:uid="{00000000-0005-0000-0000-000031000000}"/>
    <cellStyle name="Normal 8" xfId="21" xr:uid="{00000000-0005-0000-0000-000032000000}"/>
    <cellStyle name="Normal 9" xfId="22" xr:uid="{00000000-0005-0000-0000-000033000000}"/>
    <cellStyle name="Pourcentage" xfId="59" builtinId="5"/>
    <cellStyle name="Pourcentage 2" xfId="3" xr:uid="{00000000-0005-0000-0000-000035000000}"/>
    <cellStyle name="Pourcentage 2 2" xfId="23" xr:uid="{00000000-0005-0000-0000-000036000000}"/>
    <cellStyle name="Pourcentage 2 3" xfId="34" xr:uid="{00000000-0005-0000-0000-000037000000}"/>
    <cellStyle name="Pourcentage 2 4" xfId="45" xr:uid="{00000000-0005-0000-0000-000038000000}"/>
    <cellStyle name="Pourcentage 3" xfId="24" xr:uid="{00000000-0005-0000-0000-000039000000}"/>
    <cellStyle name="Pourcentage 4" xfId="31" xr:uid="{00000000-0005-0000-0000-00003A000000}"/>
    <cellStyle name="Pourcentage 4 2" xfId="57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.delvainquiere\Documents\JCD\SERVICE\Demandes\2023\Chi%20cl&#233;s\Fiche%20tourisme\FREQ%20MENSUELL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calc"/>
    </sheetNames>
    <sheetDataSet>
      <sheetData sheetId="0"/>
      <sheetData sheetId="1">
        <row r="106">
          <cell r="B106" t="str">
            <v xml:space="preserve"> janv-22</v>
          </cell>
          <cell r="C106" t="str">
            <v xml:space="preserve"> févr-22</v>
          </cell>
          <cell r="D106" t="str">
            <v xml:space="preserve"> mars-22</v>
          </cell>
          <cell r="E106" t="str">
            <v xml:space="preserve"> avr-22</v>
          </cell>
          <cell r="F106" t="str">
            <v xml:space="preserve"> mai-22</v>
          </cell>
          <cell r="G106" t="str">
            <v xml:space="preserve"> juin-22</v>
          </cell>
          <cell r="H106" t="str">
            <v xml:space="preserve"> juil-22</v>
          </cell>
          <cell r="I106" t="str">
            <v xml:space="preserve"> août-22</v>
          </cell>
          <cell r="J106" t="str">
            <v xml:space="preserve"> sept-22</v>
          </cell>
          <cell r="K106" t="str">
            <v xml:space="preserve"> oct-22</v>
          </cell>
          <cell r="L106" t="str">
            <v xml:space="preserve"> nov-22</v>
          </cell>
          <cell r="M106" t="str">
            <v xml:space="preserve"> déc-22</v>
          </cell>
        </row>
        <row r="107">
          <cell r="A107" t="str">
            <v>Fréquentation de 44 établissements patrimoniaux</v>
          </cell>
          <cell r="B107">
            <v>100</v>
          </cell>
          <cell r="C107">
            <v>140.57869866998925</v>
          </cell>
          <cell r="D107">
            <v>147.85401324721275</v>
          </cell>
          <cell r="E107">
            <v>252.08721473532023</v>
          </cell>
          <cell r="F107">
            <v>233.75475318691264</v>
          </cell>
          <cell r="G107">
            <v>256.95794568290148</v>
          </cell>
          <cell r="H107">
            <v>289.85528859999181</v>
          </cell>
          <cell r="I107">
            <v>293.3072630459186</v>
          </cell>
          <cell r="J107">
            <v>215.87652586850351</v>
          </cell>
          <cell r="K107">
            <v>255.89850660303614</v>
          </cell>
          <cell r="L107">
            <v>198.74690712258081</v>
          </cell>
          <cell r="M107">
            <v>212.32706333860324</v>
          </cell>
        </row>
        <row r="108">
          <cell r="A108" t="str">
            <v>Nombre de voyages des résidents à destination de la France métropolitaine ou des DOM</v>
          </cell>
          <cell r="B108">
            <v>100</v>
          </cell>
          <cell r="C108">
            <v>115.20000000000002</v>
          </cell>
          <cell r="D108">
            <v>105.60000000000001</v>
          </cell>
          <cell r="E108">
            <v>132</v>
          </cell>
          <cell r="F108">
            <v>151.19999999999999</v>
          </cell>
          <cell r="G108">
            <v>138.4</v>
          </cell>
          <cell r="H108">
            <v>168</v>
          </cell>
          <cell r="I108">
            <v>205.6</v>
          </cell>
          <cell r="J108">
            <v>121.6</v>
          </cell>
          <cell r="K108">
            <v>119.19999999999999</v>
          </cell>
          <cell r="L108">
            <v>111.20000000000002</v>
          </cell>
          <cell r="M108">
            <v>148.80000000000001</v>
          </cell>
        </row>
        <row r="109">
          <cell r="A109" t="str">
            <v>Nombre de nuitées des résidents à destination de la France métropolitaine ou des DOM</v>
          </cell>
          <cell r="B109">
            <v>100</v>
          </cell>
          <cell r="C109">
            <v>123.99103139013452</v>
          </cell>
          <cell r="D109">
            <v>102.69058295964125</v>
          </cell>
          <cell r="E109">
            <v>141.70403587443948</v>
          </cell>
          <cell r="F109">
            <v>153.13901345291478</v>
          </cell>
          <cell r="G109">
            <v>134.97757847533634</v>
          </cell>
          <cell r="H109">
            <v>267.93721973094171</v>
          </cell>
          <cell r="I109">
            <v>435.87443946188341</v>
          </cell>
          <cell r="J109">
            <v>166.14349775784751</v>
          </cell>
          <cell r="K109">
            <v>124.43946188340806</v>
          </cell>
          <cell r="L109">
            <v>99.103139013452918</v>
          </cell>
          <cell r="M109">
            <v>145.29147982062781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10" sqref="B10"/>
    </sheetView>
  </sheetViews>
  <sheetFormatPr baseColWidth="10" defaultColWidth="11.42578125" defaultRowHeight="11.25" x14ac:dyDescent="0.2"/>
  <cols>
    <col min="1" max="16384" width="11.42578125" style="1"/>
  </cols>
  <sheetData>
    <row r="1" spans="1:2" ht="12.75" x14ac:dyDescent="0.2">
      <c r="A1" s="65" t="s">
        <v>163</v>
      </c>
    </row>
    <row r="3" spans="1:2" ht="12.75" x14ac:dyDescent="0.2">
      <c r="B3" s="176" t="s">
        <v>209</v>
      </c>
    </row>
    <row r="4" spans="1:2" ht="12.75" x14ac:dyDescent="0.2">
      <c r="B4" s="8" t="s">
        <v>410</v>
      </c>
    </row>
    <row r="5" spans="1:2" ht="12.75" x14ac:dyDescent="0.2">
      <c r="B5" s="210" t="s">
        <v>466</v>
      </c>
    </row>
    <row r="6" spans="1:2" ht="12.75" x14ac:dyDescent="0.2">
      <c r="B6" s="210" t="s">
        <v>470</v>
      </c>
    </row>
    <row r="7" spans="1:2" ht="12.75" x14ac:dyDescent="0.2">
      <c r="B7" s="210" t="s">
        <v>468</v>
      </c>
    </row>
    <row r="8" spans="1:2" ht="12.75" x14ac:dyDescent="0.2">
      <c r="B8" s="210" t="s">
        <v>469</v>
      </c>
    </row>
    <row r="9" spans="1:2" ht="12.75" x14ac:dyDescent="0.2">
      <c r="B9" s="8" t="s">
        <v>467</v>
      </c>
    </row>
    <row r="10" spans="1:2" ht="12.75" x14ac:dyDescent="0.2">
      <c r="B10" s="176" t="s">
        <v>454</v>
      </c>
    </row>
  </sheetData>
  <hyperlinks>
    <hyperlink ref="B3" location="'Graphique 1'!A1" display="'Graphique 1'!A1" xr:uid="{00000000-0004-0000-0000-000000000000}"/>
    <hyperlink ref="B6" location="'Graph 4 (nouveau)'!A1" display="'Graph 4 (nouveau)'!A1" xr:uid="{00000000-0004-0000-0000-000001000000}"/>
    <hyperlink ref="B9" location="'Graphique 6'!A1" display="Graphique 6 : Fréquentation 2019, 2020, 2021 et 2022 des sites culturels franciliens de plus d'un million d'entrées en 2019 et variations absolues cumulées sur 2020, 2021 et 2022 (en millions)" xr:uid="{00000000-0004-0000-0000-000002000000}"/>
    <hyperlink ref="B10" location="'Tableau 2'!A1" display="Tableau 2 : Les quinze expositions les plus fréquentées en Ile-de-France, en 2019 et en 2021 (+/- 3 mois)" xr:uid="{00000000-0004-0000-0000-000003000000}"/>
    <hyperlink ref="B8" location="'Tableau 1 (graphiques 3,4 et 5)'!A1" display="Tableau 1 : Nombre et part dans les entrées totales des visiteurs non-résidents de vingt huit lieux patrimoniaux documentés de 2017 à 2022" xr:uid="{00000000-0004-0000-0000-000004000000}"/>
    <hyperlink ref="B4" location="'Graphique 2'!A1" display="Graphique 2 : Fréquentation totale des expositions parisiennes (de plus de 100 000 entrées) par mois en 2022" xr:uid="{00000000-0004-0000-0000-000005000000}"/>
    <hyperlink ref="B7" location="'Graphique 5 (ancien graph 3)'!A1" display="Graphique 5 : Part des visiteurs non-résidents dans les entrées totales de 2019 à 2022 de vingt huit lieux patrimoniaux documentés" xr:uid="{00000000-0004-0000-0000-000006000000}"/>
    <hyperlink ref="B5" location="'Graphique 3'!A1" display="'Graphique 3'!A1" xr:uid="{00000000-0004-0000-0000-000007000000}"/>
  </hyperlinks>
  <pageMargins left="0.7" right="0.7" top="0.75" bottom="0.75" header="0.3" footer="0.3"/>
  <pageSetup paperSize="9" orientation="portrait" horizontalDpi="1200" verticalDpi="1200" r:id="rId1"/>
  <headerFooter>
    <oddFooter>&amp;C&amp;1#&amp;"Calibri"&amp;12&amp;K008000C1 Données Internes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9"/>
  <sheetViews>
    <sheetView workbookViewId="0">
      <selection sqref="A1:M1"/>
    </sheetView>
  </sheetViews>
  <sheetFormatPr baseColWidth="10" defaultRowHeight="12.75" x14ac:dyDescent="0.2"/>
  <cols>
    <col min="1" max="1" width="85.7109375" customWidth="1"/>
    <col min="2" max="2" width="8.42578125" customWidth="1"/>
    <col min="3" max="3" width="6.7109375" bestFit="1" customWidth="1"/>
    <col min="4" max="4" width="7.7109375" bestFit="1" customWidth="1"/>
    <col min="5" max="5" width="6.140625" bestFit="1" customWidth="1"/>
    <col min="6" max="6" width="6.5703125" bestFit="1" customWidth="1"/>
    <col min="7" max="7" width="6.42578125" bestFit="1" customWidth="1"/>
    <col min="8" max="8" width="5.7109375" bestFit="1" customWidth="1"/>
    <col min="9" max="9" width="7.140625" bestFit="1" customWidth="1"/>
    <col min="10" max="10" width="7" bestFit="1" customWidth="1"/>
    <col min="11" max="11" width="6.140625" bestFit="1" customWidth="1"/>
    <col min="12" max="12" width="6.42578125" bestFit="1" customWidth="1"/>
    <col min="13" max="13" width="6.7109375" bestFit="1" customWidth="1"/>
  </cols>
  <sheetData>
    <row r="1" spans="1:13" x14ac:dyDescent="0.2">
      <c r="A1" s="211" t="s">
        <v>173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3" spans="1:13" x14ac:dyDescent="0.2">
      <c r="A3" s="36" t="s">
        <v>174</v>
      </c>
      <c r="B3" s="37" t="s">
        <v>175</v>
      </c>
      <c r="C3" s="37" t="s">
        <v>176</v>
      </c>
      <c r="D3" s="37" t="s">
        <v>177</v>
      </c>
      <c r="E3" s="37" t="s">
        <v>178</v>
      </c>
      <c r="F3" s="37" t="s">
        <v>179</v>
      </c>
      <c r="G3" s="37" t="s">
        <v>180</v>
      </c>
      <c r="H3" s="37" t="s">
        <v>181</v>
      </c>
      <c r="I3" s="37" t="s">
        <v>182</v>
      </c>
      <c r="J3" s="37" t="s">
        <v>183</v>
      </c>
      <c r="K3" s="37" t="s">
        <v>184</v>
      </c>
      <c r="L3" s="37" t="s">
        <v>185</v>
      </c>
      <c r="M3" s="37" t="s">
        <v>186</v>
      </c>
    </row>
    <row r="4" spans="1:13" x14ac:dyDescent="0.2">
      <c r="A4" s="38" t="s">
        <v>187</v>
      </c>
      <c r="B4" s="39">
        <v>100</v>
      </c>
      <c r="C4" s="39">
        <v>140.57869866998925</v>
      </c>
      <c r="D4" s="39">
        <v>147.85401324721275</v>
      </c>
      <c r="E4" s="39">
        <v>252.08721473532023</v>
      </c>
      <c r="F4" s="39">
        <v>233.75475318691264</v>
      </c>
      <c r="G4" s="39">
        <v>256.95794568290148</v>
      </c>
      <c r="H4" s="39">
        <v>289.85528859999181</v>
      </c>
      <c r="I4" s="39">
        <v>293.3072630459186</v>
      </c>
      <c r="J4" s="39">
        <v>215.87652586850351</v>
      </c>
      <c r="K4" s="39">
        <v>255.89850660303614</v>
      </c>
      <c r="L4" s="39">
        <v>198.74690712258081</v>
      </c>
      <c r="M4" s="39">
        <v>212.32706333860324</v>
      </c>
    </row>
    <row r="5" spans="1:13" x14ac:dyDescent="0.2">
      <c r="A5" s="40" t="s">
        <v>188</v>
      </c>
      <c r="B5" s="39">
        <v>100</v>
      </c>
      <c r="C5" s="39">
        <v>115.20000000000002</v>
      </c>
      <c r="D5" s="39">
        <v>105.60000000000001</v>
      </c>
      <c r="E5" s="39">
        <v>132</v>
      </c>
      <c r="F5" s="39">
        <v>151.19999999999999</v>
      </c>
      <c r="G5" s="39">
        <v>138.4</v>
      </c>
      <c r="H5" s="39">
        <v>168</v>
      </c>
      <c r="I5" s="39">
        <v>205.6</v>
      </c>
      <c r="J5" s="39">
        <v>121.6</v>
      </c>
      <c r="K5" s="39">
        <v>119.19999999999999</v>
      </c>
      <c r="L5" s="39">
        <v>111.20000000000002</v>
      </c>
      <c r="M5" s="39">
        <v>148.80000000000001</v>
      </c>
    </row>
    <row r="7" spans="1:13" x14ac:dyDescent="0.2">
      <c r="A7" s="21" t="s">
        <v>189</v>
      </c>
    </row>
    <row r="8" spans="1:13" x14ac:dyDescent="0.2">
      <c r="A8" s="21" t="s">
        <v>190</v>
      </c>
    </row>
    <row r="9" spans="1:13" x14ac:dyDescent="0.2">
      <c r="A9" s="21"/>
    </row>
    <row r="10" spans="1:13" x14ac:dyDescent="0.2">
      <c r="A10" s="41" t="s">
        <v>471</v>
      </c>
    </row>
    <row r="11" spans="1:13" x14ac:dyDescent="0.2">
      <c r="A11" s="42" t="s">
        <v>115</v>
      </c>
    </row>
    <row r="12" spans="1:13" x14ac:dyDescent="0.2">
      <c r="A12" s="42" t="s">
        <v>100</v>
      </c>
    </row>
    <row r="13" spans="1:13" x14ac:dyDescent="0.2">
      <c r="A13" s="42" t="s">
        <v>116</v>
      </c>
    </row>
    <row r="14" spans="1:13" x14ac:dyDescent="0.2">
      <c r="A14" s="42" t="s">
        <v>109</v>
      </c>
    </row>
    <row r="15" spans="1:13" x14ac:dyDescent="0.2">
      <c r="A15" s="42" t="s">
        <v>117</v>
      </c>
    </row>
    <row r="16" spans="1:13" x14ac:dyDescent="0.2">
      <c r="A16" s="42" t="s">
        <v>149</v>
      </c>
    </row>
    <row r="17" spans="1:1" x14ac:dyDescent="0.2">
      <c r="A17" s="42" t="s">
        <v>118</v>
      </c>
    </row>
    <row r="18" spans="1:1" x14ac:dyDescent="0.2">
      <c r="A18" s="42" t="s">
        <v>191</v>
      </c>
    </row>
    <row r="19" spans="1:1" x14ac:dyDescent="0.2">
      <c r="A19" s="42" t="s">
        <v>119</v>
      </c>
    </row>
    <row r="20" spans="1:1" x14ac:dyDescent="0.2">
      <c r="A20" s="42" t="s">
        <v>105</v>
      </c>
    </row>
    <row r="21" spans="1:1" x14ac:dyDescent="0.2">
      <c r="A21" s="42" t="s">
        <v>112</v>
      </c>
    </row>
    <row r="22" spans="1:1" x14ac:dyDescent="0.2">
      <c r="A22" s="42" t="s">
        <v>135</v>
      </c>
    </row>
    <row r="23" spans="1:1" x14ac:dyDescent="0.2">
      <c r="A23" s="42" t="s">
        <v>136</v>
      </c>
    </row>
    <row r="24" spans="1:1" x14ac:dyDescent="0.2">
      <c r="A24" s="42" t="s">
        <v>120</v>
      </c>
    </row>
    <row r="25" spans="1:1" x14ac:dyDescent="0.2">
      <c r="A25" s="42" t="s">
        <v>147</v>
      </c>
    </row>
    <row r="26" spans="1:1" x14ac:dyDescent="0.2">
      <c r="A26" s="42" t="s">
        <v>192</v>
      </c>
    </row>
    <row r="27" spans="1:1" x14ac:dyDescent="0.2">
      <c r="A27" s="42" t="s">
        <v>193</v>
      </c>
    </row>
    <row r="28" spans="1:1" x14ac:dyDescent="0.2">
      <c r="A28" s="42" t="s">
        <v>194</v>
      </c>
    </row>
    <row r="29" spans="1:1" x14ac:dyDescent="0.2">
      <c r="A29" s="42" t="s">
        <v>195</v>
      </c>
    </row>
    <row r="30" spans="1:1" x14ac:dyDescent="0.2">
      <c r="A30" s="42" t="s">
        <v>196</v>
      </c>
    </row>
    <row r="31" spans="1:1" x14ac:dyDescent="0.2">
      <c r="A31" s="42" t="s">
        <v>197</v>
      </c>
    </row>
    <row r="32" spans="1:1" x14ac:dyDescent="0.2">
      <c r="A32" s="42" t="s">
        <v>151</v>
      </c>
    </row>
    <row r="33" spans="1:1" x14ac:dyDescent="0.2">
      <c r="A33" s="42" t="s">
        <v>110</v>
      </c>
    </row>
    <row r="34" spans="1:1" x14ac:dyDescent="0.2">
      <c r="A34" s="42" t="s">
        <v>140</v>
      </c>
    </row>
    <row r="35" spans="1:1" x14ac:dyDescent="0.2">
      <c r="A35" s="42" t="s">
        <v>152</v>
      </c>
    </row>
    <row r="36" spans="1:1" x14ac:dyDescent="0.2">
      <c r="A36" s="42" t="s">
        <v>137</v>
      </c>
    </row>
    <row r="37" spans="1:1" x14ac:dyDescent="0.2">
      <c r="A37" s="42" t="s">
        <v>122</v>
      </c>
    </row>
    <row r="38" spans="1:1" x14ac:dyDescent="0.2">
      <c r="A38" s="42" t="s">
        <v>123</v>
      </c>
    </row>
    <row r="39" spans="1:1" x14ac:dyDescent="0.2">
      <c r="A39" s="42" t="s">
        <v>124</v>
      </c>
    </row>
    <row r="40" spans="1:1" x14ac:dyDescent="0.2">
      <c r="A40" s="1" t="s">
        <v>153</v>
      </c>
    </row>
    <row r="41" spans="1:1" x14ac:dyDescent="0.2">
      <c r="A41" s="42" t="s">
        <v>125</v>
      </c>
    </row>
    <row r="42" spans="1:1" x14ac:dyDescent="0.2">
      <c r="A42" s="42" t="s">
        <v>98</v>
      </c>
    </row>
    <row r="43" spans="1:1" x14ac:dyDescent="0.2">
      <c r="A43" s="42" t="s">
        <v>126</v>
      </c>
    </row>
    <row r="44" spans="1:1" x14ac:dyDescent="0.2">
      <c r="A44" s="42" t="s">
        <v>127</v>
      </c>
    </row>
    <row r="45" spans="1:1" x14ac:dyDescent="0.2">
      <c r="A45" s="42" t="s">
        <v>129</v>
      </c>
    </row>
    <row r="46" spans="1:1" x14ac:dyDescent="0.2">
      <c r="A46" s="42" t="s">
        <v>142</v>
      </c>
    </row>
    <row r="47" spans="1:1" x14ac:dyDescent="0.2">
      <c r="A47" s="42" t="s">
        <v>130</v>
      </c>
    </row>
    <row r="48" spans="1:1" x14ac:dyDescent="0.2">
      <c r="A48" s="42" t="s">
        <v>107</v>
      </c>
    </row>
    <row r="49" spans="1:13" x14ac:dyDescent="0.2">
      <c r="A49" s="42" t="s">
        <v>131</v>
      </c>
    </row>
    <row r="50" spans="1:13" x14ac:dyDescent="0.2">
      <c r="A50" s="42" t="s">
        <v>146</v>
      </c>
    </row>
    <row r="51" spans="1:13" x14ac:dyDescent="0.2">
      <c r="A51" s="42" t="s">
        <v>143</v>
      </c>
    </row>
    <row r="52" spans="1:13" x14ac:dyDescent="0.2">
      <c r="A52" s="42" t="s">
        <v>132</v>
      </c>
    </row>
    <row r="53" spans="1:13" x14ac:dyDescent="0.2">
      <c r="A53" s="42" t="s">
        <v>113</v>
      </c>
    </row>
    <row r="54" spans="1:13" x14ac:dyDescent="0.2">
      <c r="A54" s="42" t="s">
        <v>133</v>
      </c>
    </row>
    <row r="57" spans="1:13" hidden="1" x14ac:dyDescent="0.2">
      <c r="A57" s="9" t="s">
        <v>161</v>
      </c>
      <c r="D57" s="8"/>
    </row>
    <row r="58" spans="1:13" hidden="1" x14ac:dyDescent="0.2"/>
    <row r="59" spans="1:13" hidden="1" x14ac:dyDescent="0.2">
      <c r="B59" s="19">
        <v>43466</v>
      </c>
      <c r="C59" s="19">
        <v>43497</v>
      </c>
      <c r="D59" s="19">
        <v>43525</v>
      </c>
      <c r="E59" s="19">
        <v>43556</v>
      </c>
      <c r="F59" s="19">
        <v>43586</v>
      </c>
      <c r="G59" s="19">
        <v>43617</v>
      </c>
      <c r="H59" s="19">
        <v>43647</v>
      </c>
      <c r="I59" s="19">
        <v>43678</v>
      </c>
      <c r="J59" s="19">
        <v>43709</v>
      </c>
      <c r="K59" s="19">
        <v>43739</v>
      </c>
      <c r="L59" s="19">
        <v>43770</v>
      </c>
      <c r="M59" s="19">
        <v>43800</v>
      </c>
    </row>
    <row r="60" spans="1:13" hidden="1" x14ac:dyDescent="0.2">
      <c r="A60" s="20" t="s">
        <v>166</v>
      </c>
      <c r="B60" s="20">
        <v>100</v>
      </c>
      <c r="C60" s="20">
        <v>108</v>
      </c>
      <c r="D60" s="20">
        <v>129</v>
      </c>
      <c r="E60" s="20">
        <v>174</v>
      </c>
      <c r="F60" s="20">
        <v>164</v>
      </c>
      <c r="G60" s="20">
        <v>178</v>
      </c>
      <c r="H60" s="20">
        <v>174</v>
      </c>
      <c r="I60" s="20">
        <v>184</v>
      </c>
      <c r="J60" s="20">
        <v>142</v>
      </c>
      <c r="K60" s="20">
        <v>154</v>
      </c>
      <c r="L60" s="20">
        <v>125</v>
      </c>
      <c r="M60" s="20">
        <v>99</v>
      </c>
    </row>
    <row r="61" spans="1:13" hidden="1" x14ac:dyDescent="0.2">
      <c r="A61" s="20" t="s">
        <v>167</v>
      </c>
      <c r="B61" s="20">
        <v>100</v>
      </c>
      <c r="C61" s="20">
        <v>105</v>
      </c>
      <c r="D61" s="20">
        <v>107</v>
      </c>
      <c r="E61" s="20">
        <v>136</v>
      </c>
      <c r="F61" s="20">
        <v>118</v>
      </c>
      <c r="G61" s="20">
        <v>146</v>
      </c>
      <c r="H61" s="20">
        <v>154</v>
      </c>
      <c r="I61" s="20">
        <v>202</v>
      </c>
      <c r="J61" s="20">
        <v>122</v>
      </c>
      <c r="K61" s="20">
        <v>116</v>
      </c>
      <c r="L61" s="20">
        <v>104</v>
      </c>
      <c r="M61" s="20">
        <v>140</v>
      </c>
    </row>
    <row r="62" spans="1:13" hidden="1" x14ac:dyDescent="0.2"/>
    <row r="63" spans="1:13" hidden="1" x14ac:dyDescent="0.2">
      <c r="A63" s="21" t="s">
        <v>164</v>
      </c>
      <c r="B63" s="22"/>
      <c r="C63" s="22"/>
      <c r="D63" s="22"/>
    </row>
    <row r="64" spans="1:13" hidden="1" x14ac:dyDescent="0.2">
      <c r="A64" s="21" t="s">
        <v>168</v>
      </c>
      <c r="B64" s="22"/>
      <c r="C64" s="22"/>
      <c r="D64" s="22"/>
    </row>
    <row r="65" spans="1:2" hidden="1" x14ac:dyDescent="0.2"/>
    <row r="66" spans="1:2" hidden="1" x14ac:dyDescent="0.2">
      <c r="A66" s="2" t="s">
        <v>162</v>
      </c>
    </row>
    <row r="67" spans="1:2" ht="13.5" hidden="1" thickBot="1" x14ac:dyDescent="0.25">
      <c r="A67" s="15" t="s">
        <v>95</v>
      </c>
      <c r="B67" s="12"/>
    </row>
    <row r="68" spans="1:2" ht="12.95" hidden="1" customHeight="1" x14ac:dyDescent="0.2">
      <c r="A68" s="212" t="s">
        <v>96</v>
      </c>
      <c r="B68" s="13" t="s">
        <v>97</v>
      </c>
    </row>
    <row r="69" spans="1:2" hidden="1" x14ac:dyDescent="0.2">
      <c r="A69" s="213"/>
      <c r="B69" s="10" t="s">
        <v>160</v>
      </c>
    </row>
    <row r="70" spans="1:2" ht="13.5" hidden="1" thickBot="1" x14ac:dyDescent="0.25">
      <c r="A70" s="214"/>
      <c r="B70" s="10" t="s">
        <v>98</v>
      </c>
    </row>
    <row r="71" spans="1:2" ht="12.95" hidden="1" customHeight="1" x14ac:dyDescent="0.2">
      <c r="A71" s="212" t="s">
        <v>99</v>
      </c>
      <c r="B71" s="13" t="s">
        <v>100</v>
      </c>
    </row>
    <row r="72" spans="1:2" hidden="1" x14ac:dyDescent="0.2">
      <c r="A72" s="213"/>
      <c r="B72" s="10" t="s">
        <v>101</v>
      </c>
    </row>
    <row r="73" spans="1:2" ht="13.5" hidden="1" thickBot="1" x14ac:dyDescent="0.25">
      <c r="A73" s="214"/>
      <c r="B73" s="10" t="s">
        <v>154</v>
      </c>
    </row>
    <row r="74" spans="1:2" hidden="1" x14ac:dyDescent="0.2">
      <c r="A74" s="212" t="s">
        <v>102</v>
      </c>
      <c r="B74" s="13" t="s">
        <v>155</v>
      </c>
    </row>
    <row r="75" spans="1:2" ht="13.5" hidden="1" thickBot="1" x14ac:dyDescent="0.25">
      <c r="A75" s="214"/>
      <c r="B75" s="10" t="s">
        <v>103</v>
      </c>
    </row>
    <row r="76" spans="1:2" ht="12.95" hidden="1" customHeight="1" x14ac:dyDescent="0.2">
      <c r="A76" s="212" t="s">
        <v>104</v>
      </c>
      <c r="B76" s="13" t="s">
        <v>105</v>
      </c>
    </row>
    <row r="77" spans="1:2" hidden="1" x14ac:dyDescent="0.2">
      <c r="A77" s="213"/>
      <c r="B77" s="10" t="s">
        <v>106</v>
      </c>
    </row>
    <row r="78" spans="1:2" hidden="1" x14ac:dyDescent="0.2">
      <c r="A78" s="213"/>
      <c r="B78" s="10" t="s">
        <v>156</v>
      </c>
    </row>
    <row r="79" spans="1:2" ht="13.5" hidden="1" thickBot="1" x14ac:dyDescent="0.25">
      <c r="A79" s="214"/>
      <c r="B79" s="10" t="s">
        <v>107</v>
      </c>
    </row>
    <row r="80" spans="1:2" hidden="1" x14ac:dyDescent="0.2">
      <c r="A80" s="212" t="s">
        <v>108</v>
      </c>
      <c r="B80" s="13" t="s">
        <v>109</v>
      </c>
    </row>
    <row r="81" spans="1:2" ht="13.5" hidden="1" thickBot="1" x14ac:dyDescent="0.25">
      <c r="A81" s="214"/>
      <c r="B81" s="10" t="s">
        <v>110</v>
      </c>
    </row>
    <row r="82" spans="1:2" ht="12.95" hidden="1" customHeight="1" x14ac:dyDescent="0.2">
      <c r="A82" s="212" t="s">
        <v>111</v>
      </c>
      <c r="B82" s="13" t="s">
        <v>112</v>
      </c>
    </row>
    <row r="83" spans="1:2" ht="13.5" hidden="1" thickBot="1" x14ac:dyDescent="0.25">
      <c r="A83" s="214"/>
      <c r="B83" s="10" t="s">
        <v>113</v>
      </c>
    </row>
    <row r="84" spans="1:2" hidden="1" x14ac:dyDescent="0.2">
      <c r="A84" s="212" t="s">
        <v>114</v>
      </c>
      <c r="B84" s="13" t="s">
        <v>115</v>
      </c>
    </row>
    <row r="85" spans="1:2" hidden="1" x14ac:dyDescent="0.2">
      <c r="A85" s="213"/>
      <c r="B85" s="10" t="s">
        <v>116</v>
      </c>
    </row>
    <row r="86" spans="1:2" hidden="1" x14ac:dyDescent="0.2">
      <c r="A86" s="213"/>
      <c r="B86" s="10" t="s">
        <v>117</v>
      </c>
    </row>
    <row r="87" spans="1:2" hidden="1" x14ac:dyDescent="0.2">
      <c r="A87" s="213"/>
      <c r="B87" s="10" t="s">
        <v>118</v>
      </c>
    </row>
    <row r="88" spans="1:2" hidden="1" x14ac:dyDescent="0.2">
      <c r="A88" s="213"/>
      <c r="B88" s="10" t="s">
        <v>119</v>
      </c>
    </row>
    <row r="89" spans="1:2" hidden="1" x14ac:dyDescent="0.2">
      <c r="A89" s="213"/>
      <c r="B89" s="10" t="s">
        <v>120</v>
      </c>
    </row>
    <row r="90" spans="1:2" hidden="1" x14ac:dyDescent="0.2">
      <c r="A90" s="213"/>
      <c r="B90" s="10" t="s">
        <v>121</v>
      </c>
    </row>
    <row r="91" spans="1:2" hidden="1" x14ac:dyDescent="0.2">
      <c r="A91" s="213"/>
      <c r="B91" s="10" t="s">
        <v>122</v>
      </c>
    </row>
    <row r="92" spans="1:2" hidden="1" x14ac:dyDescent="0.2">
      <c r="A92" s="213"/>
      <c r="B92" s="10" t="s">
        <v>123</v>
      </c>
    </row>
    <row r="93" spans="1:2" hidden="1" x14ac:dyDescent="0.2">
      <c r="A93" s="213"/>
      <c r="B93" s="10" t="s">
        <v>124</v>
      </c>
    </row>
    <row r="94" spans="1:2" hidden="1" x14ac:dyDescent="0.2">
      <c r="A94" s="213"/>
      <c r="B94" s="10" t="s">
        <v>125</v>
      </c>
    </row>
    <row r="95" spans="1:2" hidden="1" x14ac:dyDescent="0.2">
      <c r="A95" s="213"/>
      <c r="B95" s="10" t="s">
        <v>126</v>
      </c>
    </row>
    <row r="96" spans="1:2" hidden="1" x14ac:dyDescent="0.2">
      <c r="A96" s="213"/>
      <c r="B96" s="10" t="s">
        <v>127</v>
      </c>
    </row>
    <row r="97" spans="1:2" hidden="1" x14ac:dyDescent="0.2">
      <c r="A97" s="213"/>
      <c r="B97" s="10" t="s">
        <v>128</v>
      </c>
    </row>
    <row r="98" spans="1:2" hidden="1" x14ac:dyDescent="0.2">
      <c r="A98" s="213"/>
      <c r="B98" s="10" t="s">
        <v>129</v>
      </c>
    </row>
    <row r="99" spans="1:2" hidden="1" x14ac:dyDescent="0.2">
      <c r="A99" s="213"/>
      <c r="B99" s="10" t="s">
        <v>130</v>
      </c>
    </row>
    <row r="100" spans="1:2" hidden="1" x14ac:dyDescent="0.2">
      <c r="A100" s="213"/>
      <c r="B100" s="10" t="s">
        <v>131</v>
      </c>
    </row>
    <row r="101" spans="1:2" hidden="1" x14ac:dyDescent="0.2">
      <c r="A101" s="213"/>
      <c r="B101" s="10" t="s">
        <v>132</v>
      </c>
    </row>
    <row r="102" spans="1:2" ht="13.5" hidden="1" thickBot="1" x14ac:dyDescent="0.25">
      <c r="A102" s="214"/>
      <c r="B102" s="10" t="s">
        <v>133</v>
      </c>
    </row>
    <row r="103" spans="1:2" hidden="1" x14ac:dyDescent="0.2">
      <c r="A103" s="212" t="s">
        <v>134</v>
      </c>
      <c r="B103" s="13" t="s">
        <v>135</v>
      </c>
    </row>
    <row r="104" spans="1:2" hidden="1" x14ac:dyDescent="0.2">
      <c r="A104" s="213"/>
      <c r="B104" s="10" t="s">
        <v>157</v>
      </c>
    </row>
    <row r="105" spans="1:2" hidden="1" x14ac:dyDescent="0.2">
      <c r="A105" s="213"/>
      <c r="B105" s="10" t="s">
        <v>158</v>
      </c>
    </row>
    <row r="106" spans="1:2" hidden="1" x14ac:dyDescent="0.2">
      <c r="A106" s="213"/>
      <c r="B106" s="10" t="s">
        <v>136</v>
      </c>
    </row>
    <row r="107" spans="1:2" ht="13.5" hidden="1" thickBot="1" x14ac:dyDescent="0.25">
      <c r="A107" s="214"/>
      <c r="B107" s="11" t="s">
        <v>137</v>
      </c>
    </row>
    <row r="108" spans="1:2" ht="12.95" hidden="1" customHeight="1" x14ac:dyDescent="0.2">
      <c r="A108" s="212" t="s">
        <v>138</v>
      </c>
      <c r="B108" s="13" t="s">
        <v>139</v>
      </c>
    </row>
    <row r="109" spans="1:2" ht="13.5" hidden="1" thickBot="1" x14ac:dyDescent="0.25">
      <c r="A109" s="214"/>
      <c r="B109" s="10" t="s">
        <v>140</v>
      </c>
    </row>
    <row r="110" spans="1:2" hidden="1" x14ac:dyDescent="0.2">
      <c r="A110" s="212" t="s">
        <v>141</v>
      </c>
      <c r="B110" s="13" t="s">
        <v>142</v>
      </c>
    </row>
    <row r="111" spans="1:2" ht="13.5" hidden="1" thickBot="1" x14ac:dyDescent="0.25">
      <c r="A111" s="214"/>
      <c r="B111" s="10" t="s">
        <v>143</v>
      </c>
    </row>
    <row r="112" spans="1:2" hidden="1" x14ac:dyDescent="0.2">
      <c r="A112" s="212" t="s">
        <v>144</v>
      </c>
      <c r="B112" s="13" t="s">
        <v>145</v>
      </c>
    </row>
    <row r="113" spans="1:2" hidden="1" x14ac:dyDescent="0.2">
      <c r="A113" s="213"/>
      <c r="B113" s="10" t="s">
        <v>146</v>
      </c>
    </row>
    <row r="114" spans="1:2" ht="13.5" hidden="1" thickBot="1" x14ac:dyDescent="0.25">
      <c r="A114" s="214"/>
      <c r="B114" s="10" t="s">
        <v>147</v>
      </c>
    </row>
    <row r="115" spans="1:2" ht="12.95" hidden="1" customHeight="1" x14ac:dyDescent="0.2">
      <c r="A115" s="212" t="s">
        <v>148</v>
      </c>
      <c r="B115" s="13" t="s">
        <v>149</v>
      </c>
    </row>
    <row r="116" spans="1:2" ht="13.5" hidden="1" thickBot="1" x14ac:dyDescent="0.25">
      <c r="A116" s="214"/>
      <c r="B116" s="10" t="s">
        <v>159</v>
      </c>
    </row>
    <row r="117" spans="1:2" ht="12.95" hidden="1" customHeight="1" x14ac:dyDescent="0.2">
      <c r="A117" s="212" t="s">
        <v>150</v>
      </c>
      <c r="B117" s="13" t="s">
        <v>151</v>
      </c>
    </row>
    <row r="118" spans="1:2" hidden="1" x14ac:dyDescent="0.2">
      <c r="A118" s="213"/>
      <c r="B118" s="10" t="s">
        <v>152</v>
      </c>
    </row>
    <row r="119" spans="1:2" hidden="1" x14ac:dyDescent="0.2">
      <c r="A119" s="213"/>
      <c r="B119" s="14" t="s">
        <v>153</v>
      </c>
    </row>
  </sheetData>
  <mergeCells count="14">
    <mergeCell ref="A1:M1"/>
    <mergeCell ref="A71:A73"/>
    <mergeCell ref="A68:A70"/>
    <mergeCell ref="A117:A119"/>
    <mergeCell ref="A115:A116"/>
    <mergeCell ref="A112:A114"/>
    <mergeCell ref="A110:A111"/>
    <mergeCell ref="A108:A109"/>
    <mergeCell ref="A103:A107"/>
    <mergeCell ref="A84:A102"/>
    <mergeCell ref="A82:A83"/>
    <mergeCell ref="A80:A81"/>
    <mergeCell ref="A76:A79"/>
    <mergeCell ref="A74:A75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0"/>
  <sheetViews>
    <sheetView zoomScaleNormal="100" workbookViewId="0"/>
  </sheetViews>
  <sheetFormatPr baseColWidth="10" defaultRowHeight="12.75" x14ac:dyDescent="0.2"/>
  <cols>
    <col min="1" max="1" width="63.85546875" bestFit="1" customWidth="1"/>
    <col min="2" max="2" width="12.5703125" customWidth="1"/>
    <col min="3" max="3" width="11.28515625" bestFit="1" customWidth="1"/>
    <col min="4" max="4" width="10.28515625" bestFit="1" customWidth="1"/>
    <col min="5" max="5" width="11" bestFit="1" customWidth="1"/>
    <col min="6" max="6" width="10.28515625" customWidth="1"/>
    <col min="7" max="7" width="9.85546875" customWidth="1"/>
    <col min="8" max="8" width="11.140625" customWidth="1"/>
    <col min="9" max="9" width="9.140625" customWidth="1"/>
    <col min="10" max="10" width="9.42578125" customWidth="1"/>
    <col min="11" max="11" width="10.28515625" customWidth="1"/>
    <col min="12" max="12" width="9.7109375" customWidth="1"/>
    <col min="13" max="13" width="9.140625" bestFit="1" customWidth="1"/>
    <col min="14" max="14" width="13.5703125" bestFit="1" customWidth="1"/>
    <col min="21" max="21" width="13.28515625" customWidth="1"/>
    <col min="22" max="22" width="14.140625" customWidth="1"/>
    <col min="23" max="23" width="11.42578125" customWidth="1"/>
    <col min="25" max="25" width="12" bestFit="1" customWidth="1"/>
    <col min="26" max="26" width="14.28515625" bestFit="1" customWidth="1"/>
    <col min="27" max="28" width="12.7109375" bestFit="1" customWidth="1"/>
    <col min="29" max="29" width="58.140625" bestFit="1" customWidth="1"/>
    <col min="30" max="30" width="29.7109375" bestFit="1" customWidth="1"/>
    <col min="31" max="31" width="14.140625" bestFit="1" customWidth="1"/>
    <col min="32" max="32" width="12.85546875" bestFit="1" customWidth="1"/>
    <col min="33" max="33" width="17" bestFit="1" customWidth="1"/>
    <col min="34" max="34" width="14.28515625" bestFit="1" customWidth="1"/>
    <col min="35" max="35" width="12.7109375" bestFit="1" customWidth="1"/>
  </cols>
  <sheetData>
    <row r="1" spans="1:26" x14ac:dyDescent="0.2">
      <c r="A1" s="178" t="s">
        <v>411</v>
      </c>
    </row>
    <row r="3" spans="1:26" x14ac:dyDescent="0.2">
      <c r="A3" s="1"/>
      <c r="B3" s="1" t="s">
        <v>402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6" x14ac:dyDescent="0.2">
      <c r="A4" s="78"/>
      <c r="B4" s="79" t="s">
        <v>361</v>
      </c>
      <c r="C4" s="79" t="s">
        <v>362</v>
      </c>
      <c r="D4" s="79" t="s">
        <v>363</v>
      </c>
      <c r="E4" s="79" t="s">
        <v>364</v>
      </c>
      <c r="F4" s="79" t="s">
        <v>365</v>
      </c>
      <c r="G4" s="79" t="s">
        <v>366</v>
      </c>
      <c r="H4" s="79" t="s">
        <v>367</v>
      </c>
      <c r="I4" s="79" t="s">
        <v>368</v>
      </c>
      <c r="J4" s="79" t="s">
        <v>369</v>
      </c>
      <c r="K4" s="79" t="s">
        <v>370</v>
      </c>
      <c r="L4" s="79" t="s">
        <v>371</v>
      </c>
      <c r="M4" s="79" t="s">
        <v>372</v>
      </c>
      <c r="O4" s="79" t="s">
        <v>361</v>
      </c>
      <c r="P4" s="79" t="s">
        <v>362</v>
      </c>
      <c r="Q4" s="79" t="s">
        <v>363</v>
      </c>
      <c r="R4" s="79" t="s">
        <v>364</v>
      </c>
      <c r="S4" s="79" t="s">
        <v>365</v>
      </c>
      <c r="T4" s="79" t="s">
        <v>366</v>
      </c>
      <c r="U4" s="79" t="s">
        <v>367</v>
      </c>
      <c r="V4" s="79" t="s">
        <v>368</v>
      </c>
      <c r="W4" s="79" t="s">
        <v>369</v>
      </c>
      <c r="X4" s="79" t="s">
        <v>370</v>
      </c>
      <c r="Y4" s="79" t="s">
        <v>371</v>
      </c>
      <c r="Z4" s="79" t="s">
        <v>372</v>
      </c>
    </row>
    <row r="5" spans="1:26" ht="13.5" thickBot="1" x14ac:dyDescent="0.25">
      <c r="A5" s="18" t="s">
        <v>405</v>
      </c>
      <c r="B5" s="42">
        <v>548513.78459909407</v>
      </c>
      <c r="C5" s="42">
        <v>237054.73790181114</v>
      </c>
      <c r="D5" s="42">
        <v>121294.05109376724</v>
      </c>
      <c r="E5" s="42">
        <v>89663.365734729508</v>
      </c>
      <c r="F5" s="42">
        <v>36811.300309597522</v>
      </c>
      <c r="G5" s="42">
        <v>21520.599250936331</v>
      </c>
      <c r="H5" s="1"/>
      <c r="I5" s="1"/>
      <c r="J5" s="1"/>
      <c r="K5" s="1"/>
      <c r="L5" s="1"/>
      <c r="M5" s="1"/>
      <c r="O5" s="84">
        <v>0.86830117781477656</v>
      </c>
      <c r="P5" s="84">
        <v>0.79878081827586056</v>
      </c>
      <c r="Q5" s="83">
        <v>0.36373532499471495</v>
      </c>
      <c r="R5" s="83">
        <v>0.14385519846486192</v>
      </c>
      <c r="S5" s="83">
        <v>3.9511724019865142E-2</v>
      </c>
      <c r="T5" s="83">
        <v>2.3677611730967541E-2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</row>
    <row r="6" spans="1:26" ht="13.5" thickBot="1" x14ac:dyDescent="0.25">
      <c r="A6" s="18" t="s">
        <v>398</v>
      </c>
      <c r="B6" s="42">
        <v>83195.348837209298</v>
      </c>
      <c r="C6" s="42">
        <v>55604.501125281327</v>
      </c>
      <c r="D6" s="42">
        <v>199428.32738112428</v>
      </c>
      <c r="E6" s="42">
        <v>514304.44726355688</v>
      </c>
      <c r="F6" s="42">
        <v>864532.40856004634</v>
      </c>
      <c r="G6" s="42">
        <v>842817.96361890319</v>
      </c>
      <c r="H6" s="42">
        <v>622545.93515992549</v>
      </c>
      <c r="I6" s="42">
        <v>326179.3827999935</v>
      </c>
      <c r="J6" s="42">
        <v>64832.181332181324</v>
      </c>
      <c r="K6" s="42">
        <v>34291.505791505791</v>
      </c>
      <c r="L6" s="42">
        <v>33185.328185328181</v>
      </c>
      <c r="M6" s="42">
        <v>34291.505791505791</v>
      </c>
      <c r="O6" s="83">
        <v>0.13169882218522344</v>
      </c>
      <c r="P6" s="83">
        <v>0.1873652022389462</v>
      </c>
      <c r="Q6" s="84">
        <v>0.5980435711315204</v>
      </c>
      <c r="R6" s="85">
        <v>0.82514600836362717</v>
      </c>
      <c r="S6" s="86">
        <v>0.92795325473324286</v>
      </c>
      <c r="T6" s="86">
        <v>0.92729371843978103</v>
      </c>
      <c r="U6" s="86">
        <v>0.92263052529577216</v>
      </c>
      <c r="V6" s="87">
        <v>0.86203152258500515</v>
      </c>
      <c r="W6" s="83">
        <v>0.28478616298673232</v>
      </c>
      <c r="X6" s="83">
        <v>4.246954218543101E-2</v>
      </c>
      <c r="Y6" s="83">
        <v>3.4498117087649181E-2</v>
      </c>
      <c r="Z6" s="83">
        <v>3.3093654293498469E-2</v>
      </c>
    </row>
    <row r="7" spans="1:26" ht="13.5" thickBot="1" x14ac:dyDescent="0.25">
      <c r="A7" s="18" t="s">
        <v>399</v>
      </c>
      <c r="B7" s="42">
        <v>0</v>
      </c>
      <c r="C7" s="42">
        <v>4111.4551083591332</v>
      </c>
      <c r="D7" s="42">
        <v>12745.510835913312</v>
      </c>
      <c r="E7" s="42">
        <v>19321.207430340557</v>
      </c>
      <c r="F7" s="42">
        <v>36811.300309597522</v>
      </c>
      <c r="G7" s="42">
        <v>44562.195173671491</v>
      </c>
      <c r="H7" s="42">
        <v>52205.135926035873</v>
      </c>
      <c r="I7" s="42">
        <v>52205.135926035873</v>
      </c>
      <c r="J7" s="42">
        <v>162819.96528985011</v>
      </c>
      <c r="K7" s="42">
        <v>773146.10777592612</v>
      </c>
      <c r="L7" s="42">
        <v>928760.74269774044</v>
      </c>
      <c r="M7" s="42">
        <v>1001904.3004311589</v>
      </c>
      <c r="O7" s="83">
        <v>0</v>
      </c>
      <c r="P7" s="83">
        <v>1.3853979485193339E-2</v>
      </c>
      <c r="Q7" s="83">
        <v>3.8221103873764616E-2</v>
      </c>
      <c r="R7" s="83">
        <v>3.0998793171510764E-2</v>
      </c>
      <c r="S7" s="83">
        <v>3.9511724019865142E-2</v>
      </c>
      <c r="T7" s="83">
        <v>4.9028669829251255E-2</v>
      </c>
      <c r="U7" s="83">
        <v>7.7369474704227753E-2</v>
      </c>
      <c r="V7" s="83">
        <v>0.13796847741499482</v>
      </c>
      <c r="W7" s="84">
        <v>0.71521383701326768</v>
      </c>
      <c r="X7" s="85">
        <v>0.95753045781456902</v>
      </c>
      <c r="Y7" s="86">
        <v>0.96550188291235073</v>
      </c>
      <c r="Z7" s="87">
        <v>0.96690634570650158</v>
      </c>
    </row>
    <row r="8" spans="1:26" x14ac:dyDescent="0.2">
      <c r="A8" s="80" t="s">
        <v>406</v>
      </c>
      <c r="B8" s="81">
        <v>631709.13343630335</v>
      </c>
      <c r="C8" s="81">
        <v>296770.69413545157</v>
      </c>
      <c r="D8" s="81">
        <v>333467.88931080484</v>
      </c>
      <c r="E8" s="81">
        <v>623289.02042862703</v>
      </c>
      <c r="F8" s="81">
        <v>931655.12826243823</v>
      </c>
      <c r="G8" s="81">
        <v>908900.75804351119</v>
      </c>
      <c r="H8" s="81">
        <v>674751.07108596142</v>
      </c>
      <c r="I8" s="81">
        <v>378384.51872602938</v>
      </c>
      <c r="J8" s="81">
        <v>227652.14662203143</v>
      </c>
      <c r="K8" s="81">
        <v>807437.61356743192</v>
      </c>
      <c r="L8" s="81">
        <v>961946.07088306872</v>
      </c>
      <c r="M8" s="81">
        <v>1036195.8062226647</v>
      </c>
      <c r="O8" s="83">
        <v>1</v>
      </c>
      <c r="P8" s="83">
        <v>1</v>
      </c>
      <c r="Q8" s="83">
        <v>1</v>
      </c>
      <c r="R8" s="83">
        <v>1</v>
      </c>
      <c r="S8" s="83">
        <v>1</v>
      </c>
      <c r="T8" s="83">
        <v>1</v>
      </c>
      <c r="U8" s="83">
        <v>1</v>
      </c>
      <c r="V8" s="83">
        <v>1</v>
      </c>
      <c r="W8" s="83">
        <v>1</v>
      </c>
      <c r="X8" s="83">
        <v>1</v>
      </c>
      <c r="Y8" s="83">
        <v>1</v>
      </c>
      <c r="Z8" s="83">
        <v>1</v>
      </c>
    </row>
    <row r="9" spans="1:26" x14ac:dyDescent="0.2">
      <c r="A9" s="18" t="s">
        <v>397</v>
      </c>
      <c r="B9" s="1">
        <v>16</v>
      </c>
      <c r="C9" s="1">
        <v>8</v>
      </c>
      <c r="D9" s="1">
        <v>5</v>
      </c>
      <c r="E9" s="1">
        <v>3</v>
      </c>
      <c r="F9" s="1">
        <v>2</v>
      </c>
      <c r="G9" s="1">
        <v>1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</row>
    <row r="10" spans="1:26" x14ac:dyDescent="0.2">
      <c r="A10" s="18" t="s">
        <v>396</v>
      </c>
      <c r="B10" s="1">
        <v>1</v>
      </c>
      <c r="C10" s="1">
        <v>2</v>
      </c>
      <c r="D10" s="1">
        <v>5</v>
      </c>
      <c r="E10" s="1">
        <v>10</v>
      </c>
      <c r="F10" s="1">
        <v>11</v>
      </c>
      <c r="G10" s="1">
        <v>11</v>
      </c>
      <c r="H10" s="1">
        <v>10</v>
      </c>
      <c r="I10" s="1">
        <v>4</v>
      </c>
      <c r="J10" s="1">
        <v>3</v>
      </c>
      <c r="K10" s="1">
        <v>1</v>
      </c>
      <c r="L10" s="1">
        <v>1</v>
      </c>
      <c r="M10" s="1">
        <v>1</v>
      </c>
    </row>
    <row r="11" spans="1:26" x14ac:dyDescent="0.2">
      <c r="A11" s="82" t="s">
        <v>395</v>
      </c>
      <c r="B11" s="78">
        <v>0</v>
      </c>
      <c r="C11" s="78">
        <v>1</v>
      </c>
      <c r="D11" s="78">
        <v>1</v>
      </c>
      <c r="E11" s="78">
        <v>2</v>
      </c>
      <c r="F11" s="78">
        <v>2</v>
      </c>
      <c r="G11" s="78">
        <v>3</v>
      </c>
      <c r="H11" s="78">
        <v>3</v>
      </c>
      <c r="I11" s="78">
        <v>3</v>
      </c>
      <c r="J11" s="78">
        <v>9</v>
      </c>
      <c r="K11" s="78">
        <v>17</v>
      </c>
      <c r="L11" s="78">
        <v>19</v>
      </c>
      <c r="M11" s="78">
        <v>19</v>
      </c>
    </row>
    <row r="12" spans="1:26" x14ac:dyDescent="0.2">
      <c r="A12" s="77" t="s">
        <v>394</v>
      </c>
      <c r="B12" s="2">
        <v>17</v>
      </c>
      <c r="C12" s="2">
        <v>11</v>
      </c>
      <c r="D12" s="2">
        <v>11</v>
      </c>
      <c r="E12" s="2">
        <v>15</v>
      </c>
      <c r="F12" s="2">
        <v>15</v>
      </c>
      <c r="G12" s="2">
        <v>15</v>
      </c>
      <c r="H12" s="2">
        <v>13</v>
      </c>
      <c r="I12" s="2">
        <v>7</v>
      </c>
      <c r="J12" s="2">
        <v>12</v>
      </c>
      <c r="K12" s="2">
        <v>18</v>
      </c>
      <c r="L12" s="2">
        <v>20</v>
      </c>
      <c r="M12" s="2">
        <v>20</v>
      </c>
    </row>
    <row r="42" spans="1:27" s="1" customFormat="1" ht="22.5" x14ac:dyDescent="0.2">
      <c r="A42" s="215" t="s">
        <v>403</v>
      </c>
      <c r="B42" s="215"/>
      <c r="C42" s="215"/>
      <c r="D42" s="215"/>
      <c r="E42" s="215"/>
      <c r="F42" s="215"/>
      <c r="G42" s="215"/>
      <c r="H42" s="95" t="s">
        <v>404</v>
      </c>
      <c r="U42" s="48" t="s">
        <v>313</v>
      </c>
      <c r="V42" s="48" t="s">
        <v>210</v>
      </c>
      <c r="W42" s="48" t="s">
        <v>211</v>
      </c>
      <c r="X42" s="48" t="s">
        <v>212</v>
      </c>
      <c r="Y42" s="48" t="s">
        <v>213</v>
      </c>
      <c r="Z42" s="48" t="s">
        <v>214</v>
      </c>
      <c r="AA42" s="48" t="s">
        <v>215</v>
      </c>
    </row>
    <row r="43" spans="1:27" s="1" customFormat="1" ht="11.25" x14ac:dyDescent="0.2">
      <c r="F43" s="40" t="s">
        <v>169</v>
      </c>
      <c r="G43" s="76" t="s">
        <v>401</v>
      </c>
      <c r="H43" s="1">
        <v>31</v>
      </c>
      <c r="I43" s="1">
        <v>28</v>
      </c>
      <c r="J43" s="1">
        <v>31</v>
      </c>
      <c r="K43" s="1">
        <v>30</v>
      </c>
      <c r="L43" s="1">
        <v>31</v>
      </c>
      <c r="M43" s="1">
        <v>30</v>
      </c>
      <c r="N43" s="1">
        <v>31</v>
      </c>
      <c r="O43" s="1">
        <v>31</v>
      </c>
      <c r="P43" s="1">
        <v>30</v>
      </c>
      <c r="Q43" s="1">
        <v>31</v>
      </c>
      <c r="R43" s="1">
        <v>30</v>
      </c>
      <c r="S43" s="1">
        <v>31</v>
      </c>
      <c r="U43" s="66" t="s">
        <v>285</v>
      </c>
      <c r="V43" s="67" t="s">
        <v>286</v>
      </c>
      <c r="W43" s="68">
        <v>44665</v>
      </c>
      <c r="X43" s="67" t="s">
        <v>287</v>
      </c>
      <c r="Y43" s="69" t="s">
        <v>288</v>
      </c>
      <c r="Z43" s="67">
        <v>144</v>
      </c>
      <c r="AA43" s="67">
        <v>5021</v>
      </c>
    </row>
    <row r="44" spans="1:27" s="1" customFormat="1" ht="11.25" x14ac:dyDescent="0.2">
      <c r="A44" s="2" t="s">
        <v>314</v>
      </c>
      <c r="B44" s="2" t="s">
        <v>315</v>
      </c>
      <c r="C44" s="97" t="s">
        <v>358</v>
      </c>
      <c r="D44" s="97" t="s">
        <v>357</v>
      </c>
      <c r="E44" s="97" t="s">
        <v>359</v>
      </c>
      <c r="F44" s="97" t="s">
        <v>284</v>
      </c>
      <c r="G44" s="97" t="s">
        <v>360</v>
      </c>
      <c r="H44" s="96" t="s">
        <v>361</v>
      </c>
      <c r="I44" s="96" t="s">
        <v>362</v>
      </c>
      <c r="J44" s="96" t="s">
        <v>363</v>
      </c>
      <c r="K44" s="96" t="s">
        <v>364</v>
      </c>
      <c r="L44" s="96" t="s">
        <v>365</v>
      </c>
      <c r="M44" s="96" t="s">
        <v>366</v>
      </c>
      <c r="N44" s="96" t="s">
        <v>367</v>
      </c>
      <c r="O44" s="96" t="s">
        <v>368</v>
      </c>
      <c r="P44" s="96" t="s">
        <v>369</v>
      </c>
      <c r="Q44" s="96" t="s">
        <v>370</v>
      </c>
      <c r="R44" s="96" t="s">
        <v>371</v>
      </c>
      <c r="S44" s="96" t="s">
        <v>372</v>
      </c>
      <c r="U44" s="49" t="s">
        <v>216</v>
      </c>
      <c r="V44" s="50" t="s">
        <v>36</v>
      </c>
      <c r="W44" s="51">
        <v>44737</v>
      </c>
      <c r="X44" s="51">
        <v>44926</v>
      </c>
      <c r="Y44" s="52" t="s">
        <v>217</v>
      </c>
      <c r="Z44" s="50">
        <v>170</v>
      </c>
      <c r="AA44" s="50">
        <v>424</v>
      </c>
    </row>
    <row r="45" spans="1:27" s="1" customFormat="1" ht="11.25" x14ac:dyDescent="0.2">
      <c r="A45" s="1" t="s">
        <v>330</v>
      </c>
      <c r="B45" s="1" t="s">
        <v>331</v>
      </c>
      <c r="C45" s="54">
        <v>44887</v>
      </c>
      <c r="D45" s="54">
        <v>45074</v>
      </c>
      <c r="E45" s="39">
        <f t="shared" ref="E45:E75" si="0">_xlfn.DAYS(D45,C45)</f>
        <v>187</v>
      </c>
      <c r="F45" s="42">
        <v>265100</v>
      </c>
      <c r="G45" s="42">
        <f t="shared" ref="G45:G75" si="1">F45/E45</f>
        <v>1417.6470588235295</v>
      </c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63">
        <f>(R$43-21)*G45</f>
        <v>12758.823529411766</v>
      </c>
      <c r="S45" s="63">
        <f>S$43*G45</f>
        <v>43947.058823529413</v>
      </c>
      <c r="U45" s="66" t="s">
        <v>218</v>
      </c>
      <c r="V45" s="67" t="s">
        <v>219</v>
      </c>
      <c r="W45" s="68">
        <v>44628</v>
      </c>
      <c r="X45" s="68">
        <v>44926</v>
      </c>
      <c r="Y45" s="70" t="s">
        <v>220</v>
      </c>
      <c r="Z45" s="67">
        <v>254</v>
      </c>
      <c r="AA45" s="67">
        <v>263</v>
      </c>
    </row>
    <row r="46" spans="1:27" s="1" customFormat="1" ht="11.25" x14ac:dyDescent="0.2">
      <c r="A46" s="1" t="s">
        <v>346</v>
      </c>
      <c r="B46" s="1" t="s">
        <v>347</v>
      </c>
      <c r="C46" s="54">
        <v>44881</v>
      </c>
      <c r="D46" s="54">
        <v>45068</v>
      </c>
      <c r="E46" s="39">
        <f t="shared" si="0"/>
        <v>187</v>
      </c>
      <c r="F46" s="42">
        <v>137800</v>
      </c>
      <c r="G46" s="42">
        <f t="shared" si="1"/>
        <v>736.89839572192511</v>
      </c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63">
        <f>(R$43-15)*G46</f>
        <v>11053.475935828877</v>
      </c>
      <c r="S46" s="63">
        <f t="shared" ref="S46:S61" si="2">S$43*G46</f>
        <v>22843.850267379679</v>
      </c>
      <c r="U46" s="49" t="s">
        <v>221</v>
      </c>
      <c r="V46" s="50" t="s">
        <v>222</v>
      </c>
      <c r="W46" s="51">
        <v>44735</v>
      </c>
      <c r="X46" s="51">
        <v>44926</v>
      </c>
      <c r="Y46" s="52" t="s">
        <v>223</v>
      </c>
      <c r="Z46" s="50">
        <v>171</v>
      </c>
      <c r="AA46" s="50">
        <v>332</v>
      </c>
    </row>
    <row r="47" spans="1:27" s="1" customFormat="1" ht="11.25" x14ac:dyDescent="0.2">
      <c r="A47" s="1" t="s">
        <v>344</v>
      </c>
      <c r="B47" s="1" t="s">
        <v>345</v>
      </c>
      <c r="C47" s="54">
        <v>44854</v>
      </c>
      <c r="D47" s="54">
        <v>44991</v>
      </c>
      <c r="E47" s="39">
        <f t="shared" si="0"/>
        <v>137</v>
      </c>
      <c r="F47" s="42">
        <v>137900</v>
      </c>
      <c r="G47" s="42">
        <f t="shared" si="1"/>
        <v>1006.5693430656934</v>
      </c>
      <c r="H47" s="42"/>
      <c r="I47" s="42"/>
      <c r="J47" s="42"/>
      <c r="K47" s="42"/>
      <c r="L47" s="42"/>
      <c r="M47" s="42"/>
      <c r="N47" s="42"/>
      <c r="O47" s="42"/>
      <c r="P47" s="42"/>
      <c r="Q47" s="63">
        <f>(Q$43-19)*G47</f>
        <v>12078.83211678832</v>
      </c>
      <c r="R47" s="63">
        <f>R$43*G47</f>
        <v>30197.0802919708</v>
      </c>
      <c r="S47" s="63">
        <f t="shared" si="2"/>
        <v>31203.649635036494</v>
      </c>
      <c r="U47" s="49" t="s">
        <v>224</v>
      </c>
      <c r="V47" s="50" t="s">
        <v>225</v>
      </c>
      <c r="W47" s="51">
        <v>44653</v>
      </c>
      <c r="X47" s="51">
        <v>44926</v>
      </c>
      <c r="Y47" s="52" t="s">
        <v>226</v>
      </c>
      <c r="Z47" s="50">
        <v>200</v>
      </c>
      <c r="AA47" s="50">
        <v>217</v>
      </c>
    </row>
    <row r="48" spans="1:27" s="1" customFormat="1" ht="11.25" x14ac:dyDescent="0.2">
      <c r="A48" s="1" t="s">
        <v>355</v>
      </c>
      <c r="B48" s="1" t="s">
        <v>88</v>
      </c>
      <c r="C48" s="54">
        <v>44852</v>
      </c>
      <c r="D48" s="54">
        <v>44990</v>
      </c>
      <c r="E48" s="39">
        <f t="shared" si="0"/>
        <v>138</v>
      </c>
      <c r="F48" s="42">
        <v>111000</v>
      </c>
      <c r="G48" s="42">
        <f t="shared" si="1"/>
        <v>804.3478260869565</v>
      </c>
      <c r="H48" s="42"/>
      <c r="I48" s="42"/>
      <c r="J48" s="42"/>
      <c r="K48" s="42"/>
      <c r="L48" s="42"/>
      <c r="M48" s="42"/>
      <c r="N48" s="42"/>
      <c r="O48" s="42"/>
      <c r="P48" s="42"/>
      <c r="Q48" s="63">
        <f>(Q$43-17)*G48</f>
        <v>11260.869565217392</v>
      </c>
      <c r="R48" s="63">
        <f t="shared" ref="R48:R61" si="3">R$43*G48</f>
        <v>24130.434782608696</v>
      </c>
      <c r="S48" s="63">
        <f t="shared" si="2"/>
        <v>24934.782608695652</v>
      </c>
      <c r="U48" s="49" t="s">
        <v>230</v>
      </c>
      <c r="V48" s="50" t="s">
        <v>231</v>
      </c>
      <c r="W48" s="51">
        <v>44835</v>
      </c>
      <c r="X48" s="51">
        <v>44926</v>
      </c>
      <c r="Y48" s="52" t="s">
        <v>232</v>
      </c>
      <c r="Z48" s="50">
        <v>78</v>
      </c>
      <c r="AA48" s="50">
        <v>267</v>
      </c>
    </row>
    <row r="49" spans="1:27" s="1" customFormat="1" ht="11.25" x14ac:dyDescent="0.2">
      <c r="A49" s="1" t="s">
        <v>298</v>
      </c>
      <c r="B49" s="1" t="s">
        <v>317</v>
      </c>
      <c r="C49" s="54">
        <v>44852</v>
      </c>
      <c r="D49" s="54">
        <v>44941</v>
      </c>
      <c r="E49" s="39">
        <f t="shared" si="0"/>
        <v>89</v>
      </c>
      <c r="F49" s="42">
        <v>333800</v>
      </c>
      <c r="G49" s="42">
        <f t="shared" si="1"/>
        <v>3750.5617977528091</v>
      </c>
      <c r="H49" s="42"/>
      <c r="I49" s="42"/>
      <c r="J49" s="42"/>
      <c r="K49" s="42"/>
      <c r="L49" s="42"/>
      <c r="M49" s="42"/>
      <c r="N49" s="42"/>
      <c r="O49" s="42"/>
      <c r="P49" s="42"/>
      <c r="Q49" s="63">
        <f>(Q$43-17)*G49</f>
        <v>52507.865168539327</v>
      </c>
      <c r="R49" s="63">
        <f t="shared" si="3"/>
        <v>112516.85393258427</v>
      </c>
      <c r="S49" s="63">
        <f t="shared" si="2"/>
        <v>116267.41573033709</v>
      </c>
      <c r="U49" s="49" t="s">
        <v>233</v>
      </c>
      <c r="V49" s="50" t="s">
        <v>234</v>
      </c>
      <c r="W49" s="51">
        <v>44740</v>
      </c>
      <c r="X49" s="51">
        <v>44926</v>
      </c>
      <c r="Y49" s="52" t="s">
        <v>235</v>
      </c>
      <c r="Z49" s="50">
        <v>148</v>
      </c>
      <c r="AA49" s="50">
        <v>98</v>
      </c>
    </row>
    <row r="50" spans="1:27" s="1" customFormat="1" ht="11.25" x14ac:dyDescent="0.2">
      <c r="A50" s="1" t="s">
        <v>351</v>
      </c>
      <c r="B50" s="1" t="s">
        <v>352</v>
      </c>
      <c r="C50" s="54">
        <v>44848</v>
      </c>
      <c r="D50" s="54">
        <v>45060</v>
      </c>
      <c r="E50" s="39">
        <f t="shared" si="0"/>
        <v>212</v>
      </c>
      <c r="F50" s="42">
        <v>132000</v>
      </c>
      <c r="G50" s="42">
        <f t="shared" si="1"/>
        <v>622.64150943396226</v>
      </c>
      <c r="H50" s="42"/>
      <c r="I50" s="42"/>
      <c r="J50" s="42"/>
      <c r="K50" s="42"/>
      <c r="L50" s="42"/>
      <c r="M50" s="42"/>
      <c r="N50" s="42"/>
      <c r="O50" s="42"/>
      <c r="P50" s="42"/>
      <c r="Q50" s="63">
        <f>(Q$43-13)*G50</f>
        <v>11207.547169811322</v>
      </c>
      <c r="R50" s="63">
        <f t="shared" si="3"/>
        <v>18679.245283018867</v>
      </c>
      <c r="S50" s="63">
        <f t="shared" si="2"/>
        <v>19301.886792452831</v>
      </c>
      <c r="U50" s="49" t="s">
        <v>227</v>
      </c>
      <c r="V50" s="50" t="s">
        <v>228</v>
      </c>
      <c r="W50" s="51">
        <v>44744</v>
      </c>
      <c r="X50" s="51">
        <v>44912</v>
      </c>
      <c r="Y50" s="52" t="s">
        <v>229</v>
      </c>
      <c r="Z50" s="50">
        <v>141</v>
      </c>
      <c r="AA50" s="50">
        <v>184</v>
      </c>
    </row>
    <row r="51" spans="1:27" s="1" customFormat="1" ht="11.25" x14ac:dyDescent="0.2">
      <c r="A51" s="1" t="s">
        <v>328</v>
      </c>
      <c r="B51" s="1" t="s">
        <v>329</v>
      </c>
      <c r="C51" s="54">
        <v>44847</v>
      </c>
      <c r="D51" s="54">
        <v>45032</v>
      </c>
      <c r="E51" s="39">
        <f t="shared" si="0"/>
        <v>185</v>
      </c>
      <c r="F51" s="42">
        <v>275900</v>
      </c>
      <c r="G51" s="42">
        <f t="shared" si="1"/>
        <v>1491.3513513513512</v>
      </c>
      <c r="H51" s="42"/>
      <c r="I51" s="42"/>
      <c r="J51" s="42"/>
      <c r="K51" s="42"/>
      <c r="L51" s="42"/>
      <c r="M51" s="42"/>
      <c r="N51" s="42"/>
      <c r="O51" s="42"/>
      <c r="P51" s="42"/>
      <c r="Q51" s="63">
        <f>(Q$43-12)*G51</f>
        <v>28335.675675675673</v>
      </c>
      <c r="R51" s="63">
        <f t="shared" si="3"/>
        <v>44740.54054054054</v>
      </c>
      <c r="S51" s="63">
        <f t="shared" si="2"/>
        <v>46231.891891891886</v>
      </c>
      <c r="U51" s="49" t="s">
        <v>245</v>
      </c>
      <c r="V51" s="50" t="s">
        <v>246</v>
      </c>
      <c r="W51" s="51">
        <v>44751</v>
      </c>
      <c r="X51" s="51">
        <v>44878</v>
      </c>
      <c r="Y51" s="52" t="s">
        <v>247</v>
      </c>
      <c r="Z51" s="50">
        <v>126</v>
      </c>
      <c r="AA51" s="50">
        <v>452</v>
      </c>
    </row>
    <row r="52" spans="1:27" s="1" customFormat="1" ht="11.25" x14ac:dyDescent="0.2">
      <c r="A52" s="1" t="s">
        <v>332</v>
      </c>
      <c r="B52" s="1" t="s">
        <v>325</v>
      </c>
      <c r="C52" s="54">
        <v>44846</v>
      </c>
      <c r="D52" s="54">
        <v>44949</v>
      </c>
      <c r="E52" s="39">
        <f t="shared" si="0"/>
        <v>103</v>
      </c>
      <c r="F52" s="42">
        <v>249500</v>
      </c>
      <c r="G52" s="42">
        <f t="shared" si="1"/>
        <v>2422.3300970873788</v>
      </c>
      <c r="H52" s="42"/>
      <c r="I52" s="42"/>
      <c r="J52" s="42"/>
      <c r="K52" s="42"/>
      <c r="L52" s="42"/>
      <c r="M52" s="42"/>
      <c r="N52" s="42"/>
      <c r="O52" s="42"/>
      <c r="P52" s="42"/>
      <c r="Q52" s="63">
        <f>(Q$43-11)*G52</f>
        <v>48446.601941747576</v>
      </c>
      <c r="R52" s="63">
        <f t="shared" si="3"/>
        <v>72669.902912621357</v>
      </c>
      <c r="S52" s="63">
        <f t="shared" si="2"/>
        <v>75092.23300970874</v>
      </c>
      <c r="U52" s="49" t="s">
        <v>251</v>
      </c>
      <c r="V52" s="50" t="s">
        <v>252</v>
      </c>
      <c r="W52" s="51">
        <v>44693</v>
      </c>
      <c r="X52" s="51">
        <v>44878</v>
      </c>
      <c r="Y52" s="52" t="s">
        <v>253</v>
      </c>
      <c r="Z52" s="50">
        <v>185</v>
      </c>
      <c r="AA52" s="50">
        <v>55</v>
      </c>
    </row>
    <row r="53" spans="1:27" s="1" customFormat="1" ht="11.25" x14ac:dyDescent="0.2">
      <c r="A53" s="1" t="s">
        <v>339</v>
      </c>
      <c r="B53" s="1" t="s">
        <v>2</v>
      </c>
      <c r="C53" s="54">
        <v>44839</v>
      </c>
      <c r="D53" s="54">
        <v>44942</v>
      </c>
      <c r="E53" s="39">
        <f t="shared" si="0"/>
        <v>103</v>
      </c>
      <c r="F53" s="42">
        <v>191200</v>
      </c>
      <c r="G53" s="42">
        <f t="shared" si="1"/>
        <v>1856.3106796116506</v>
      </c>
      <c r="H53" s="42"/>
      <c r="I53" s="42"/>
      <c r="J53" s="42"/>
      <c r="K53" s="42"/>
      <c r="L53" s="42"/>
      <c r="M53" s="42"/>
      <c r="N53" s="42"/>
      <c r="O53" s="42"/>
      <c r="P53" s="42"/>
      <c r="Q53" s="63">
        <f>(Q$43-4)*G53</f>
        <v>50120.388349514564</v>
      </c>
      <c r="R53" s="63">
        <f t="shared" si="3"/>
        <v>55689.320388349515</v>
      </c>
      <c r="S53" s="63">
        <f t="shared" si="2"/>
        <v>57545.631067961171</v>
      </c>
      <c r="U53" s="66" t="s">
        <v>242</v>
      </c>
      <c r="V53" s="67" t="s">
        <v>243</v>
      </c>
      <c r="W53" s="68">
        <v>44743</v>
      </c>
      <c r="X53" s="68">
        <v>44872</v>
      </c>
      <c r="Y53" s="70" t="s">
        <v>244</v>
      </c>
      <c r="Z53" s="67">
        <v>89</v>
      </c>
      <c r="AA53" s="67">
        <v>786</v>
      </c>
    </row>
    <row r="54" spans="1:27" s="1" customFormat="1" ht="11.25" x14ac:dyDescent="0.2">
      <c r="A54" s="1" t="s">
        <v>340</v>
      </c>
      <c r="B54" s="1" t="s">
        <v>331</v>
      </c>
      <c r="C54" s="54">
        <v>44838</v>
      </c>
      <c r="D54" s="54">
        <v>44941</v>
      </c>
      <c r="E54" s="39">
        <f t="shared" si="0"/>
        <v>103</v>
      </c>
      <c r="F54" s="42">
        <v>183600</v>
      </c>
      <c r="G54" s="42">
        <f t="shared" si="1"/>
        <v>1782.5242718446602</v>
      </c>
      <c r="H54" s="42"/>
      <c r="I54" s="42"/>
      <c r="J54" s="42"/>
      <c r="K54" s="42"/>
      <c r="L54" s="42"/>
      <c r="M54" s="42"/>
      <c r="N54" s="42"/>
      <c r="O54" s="42"/>
      <c r="P54" s="42"/>
      <c r="Q54" s="63">
        <f>(Q$43-3)*G54</f>
        <v>49910.679611650485</v>
      </c>
      <c r="R54" s="63">
        <f t="shared" si="3"/>
        <v>53475.728155339806</v>
      </c>
      <c r="S54" s="63">
        <f t="shared" si="2"/>
        <v>55258.252427184467</v>
      </c>
      <c r="U54" s="66" t="s">
        <v>236</v>
      </c>
      <c r="V54" s="67" t="s">
        <v>237</v>
      </c>
      <c r="W54" s="68">
        <v>44745</v>
      </c>
      <c r="X54" s="68">
        <v>44871</v>
      </c>
      <c r="Y54" s="70" t="s">
        <v>238</v>
      </c>
      <c r="Z54" s="67">
        <v>109</v>
      </c>
      <c r="AA54" s="67">
        <v>779</v>
      </c>
    </row>
    <row r="55" spans="1:27" s="1" customFormat="1" ht="11.25" x14ac:dyDescent="0.2">
      <c r="A55" s="1" t="s">
        <v>316</v>
      </c>
      <c r="B55" s="1" t="s">
        <v>317</v>
      </c>
      <c r="C55" s="54">
        <v>44833</v>
      </c>
      <c r="D55" s="54">
        <v>44948</v>
      </c>
      <c r="E55" s="39">
        <f t="shared" si="0"/>
        <v>115</v>
      </c>
      <c r="F55" s="42">
        <v>724400</v>
      </c>
      <c r="G55" s="42">
        <f t="shared" si="1"/>
        <v>6299.130434782609</v>
      </c>
      <c r="H55" s="42"/>
      <c r="I55" s="42"/>
      <c r="J55" s="42"/>
      <c r="K55" s="42"/>
      <c r="L55" s="42"/>
      <c r="M55" s="42"/>
      <c r="N55" s="42"/>
      <c r="O55" s="42"/>
      <c r="P55" s="63">
        <f>(P$43-28)*G55</f>
        <v>12598.260869565218</v>
      </c>
      <c r="Q55" s="63">
        <f>Q$43*G55</f>
        <v>195273.04347826086</v>
      </c>
      <c r="R55" s="63">
        <f t="shared" si="3"/>
        <v>188973.91304347827</v>
      </c>
      <c r="S55" s="63">
        <f t="shared" si="2"/>
        <v>195273.04347826086</v>
      </c>
      <c r="U55" s="49" t="s">
        <v>239</v>
      </c>
      <c r="V55" s="50" t="s">
        <v>240</v>
      </c>
      <c r="W55" s="51">
        <v>44723</v>
      </c>
      <c r="X55" s="51">
        <v>44871</v>
      </c>
      <c r="Y55" s="52" t="s">
        <v>241</v>
      </c>
      <c r="Z55" s="50">
        <v>136</v>
      </c>
      <c r="AA55" s="50">
        <v>588</v>
      </c>
    </row>
    <row r="56" spans="1:27" s="1" customFormat="1" ht="11.25" x14ac:dyDescent="0.2">
      <c r="A56" s="1" t="s">
        <v>323</v>
      </c>
      <c r="B56" s="1" t="s">
        <v>3</v>
      </c>
      <c r="C56" s="54">
        <v>44832</v>
      </c>
      <c r="D56" s="54">
        <v>44942</v>
      </c>
      <c r="E56" s="39">
        <f t="shared" si="0"/>
        <v>110</v>
      </c>
      <c r="F56" s="42">
        <v>329300</v>
      </c>
      <c r="G56" s="42">
        <f t="shared" si="1"/>
        <v>2993.6363636363635</v>
      </c>
      <c r="H56" s="42"/>
      <c r="I56" s="42"/>
      <c r="J56" s="42"/>
      <c r="K56" s="42"/>
      <c r="L56" s="42"/>
      <c r="M56" s="42"/>
      <c r="N56" s="42"/>
      <c r="O56" s="42"/>
      <c r="P56" s="63">
        <f>(P$43-27)*G56</f>
        <v>8980.9090909090901</v>
      </c>
      <c r="Q56" s="63">
        <f t="shared" ref="Q56:Q61" si="4">Q$43*G56</f>
        <v>92802.727272727265</v>
      </c>
      <c r="R56" s="63">
        <f t="shared" si="3"/>
        <v>89809.090909090912</v>
      </c>
      <c r="S56" s="63">
        <f t="shared" si="2"/>
        <v>92802.727272727265</v>
      </c>
      <c r="U56" s="49" t="s">
        <v>248</v>
      </c>
      <c r="V56" s="50" t="s">
        <v>249</v>
      </c>
      <c r="W56" s="51">
        <v>44737</v>
      </c>
      <c r="X56" s="51">
        <v>44871</v>
      </c>
      <c r="Y56" s="52" t="s">
        <v>250</v>
      </c>
      <c r="Z56" s="50">
        <v>585</v>
      </c>
      <c r="AA56" s="50">
        <v>191</v>
      </c>
    </row>
    <row r="57" spans="1:27" s="1" customFormat="1" ht="11.25" x14ac:dyDescent="0.2">
      <c r="A57" s="1" t="s">
        <v>336</v>
      </c>
      <c r="B57" s="1" t="s">
        <v>337</v>
      </c>
      <c r="C57" s="54">
        <v>44827</v>
      </c>
      <c r="D57" s="54">
        <v>44969</v>
      </c>
      <c r="E57" s="39">
        <f t="shared" si="0"/>
        <v>142</v>
      </c>
      <c r="F57" s="42">
        <v>199900</v>
      </c>
      <c r="G57" s="42">
        <f t="shared" si="1"/>
        <v>1407.7464788732395</v>
      </c>
      <c r="H57" s="42"/>
      <c r="I57" s="42"/>
      <c r="J57" s="42"/>
      <c r="K57" s="42"/>
      <c r="L57" s="42"/>
      <c r="M57" s="42"/>
      <c r="N57" s="42"/>
      <c r="O57" s="42"/>
      <c r="P57" s="63">
        <f>(P$43-22)*G57</f>
        <v>11261.971830985916</v>
      </c>
      <c r="Q57" s="63">
        <f t="shared" si="4"/>
        <v>43640.140845070426</v>
      </c>
      <c r="R57" s="63">
        <f t="shared" si="3"/>
        <v>42232.394366197186</v>
      </c>
      <c r="S57" s="63">
        <f t="shared" si="2"/>
        <v>43640.140845070426</v>
      </c>
      <c r="U57" s="49" t="s">
        <v>270</v>
      </c>
      <c r="V57" s="50" t="s">
        <v>271</v>
      </c>
      <c r="W57" s="51">
        <v>44694</v>
      </c>
      <c r="X57" s="51">
        <v>44864</v>
      </c>
      <c r="Y57" s="52" t="s">
        <v>272</v>
      </c>
      <c r="Z57" s="50">
        <v>148</v>
      </c>
      <c r="AA57" s="50">
        <v>188</v>
      </c>
    </row>
    <row r="58" spans="1:27" s="1" customFormat="1" ht="11.25" x14ac:dyDescent="0.2">
      <c r="A58" s="1" t="s">
        <v>356</v>
      </c>
      <c r="B58" s="1" t="s">
        <v>76</v>
      </c>
      <c r="C58" s="54">
        <v>44820</v>
      </c>
      <c r="D58" s="54">
        <v>44949</v>
      </c>
      <c r="E58" s="39">
        <f t="shared" si="0"/>
        <v>129</v>
      </c>
      <c r="F58" s="42">
        <v>110000</v>
      </c>
      <c r="G58" s="42">
        <f t="shared" si="1"/>
        <v>852.71317829457359</v>
      </c>
      <c r="H58" s="42"/>
      <c r="I58" s="42"/>
      <c r="J58" s="42"/>
      <c r="K58" s="42"/>
      <c r="L58" s="42"/>
      <c r="M58" s="42"/>
      <c r="N58" s="42"/>
      <c r="O58" s="42"/>
      <c r="P58" s="63">
        <f>(P$43-15)*G58</f>
        <v>12790.697674418603</v>
      </c>
      <c r="Q58" s="63">
        <f t="shared" si="4"/>
        <v>26434.108527131782</v>
      </c>
      <c r="R58" s="63">
        <f t="shared" si="3"/>
        <v>25581.395348837206</v>
      </c>
      <c r="S58" s="63">
        <f t="shared" si="2"/>
        <v>26434.108527131782</v>
      </c>
      <c r="U58" s="49" t="s">
        <v>273</v>
      </c>
      <c r="V58" s="50" t="s">
        <v>274</v>
      </c>
      <c r="W58" s="51">
        <v>44750</v>
      </c>
      <c r="X58" s="51">
        <v>44864</v>
      </c>
      <c r="Y58" s="52" t="s">
        <v>275</v>
      </c>
      <c r="Z58" s="50">
        <v>105</v>
      </c>
      <c r="AA58" s="50">
        <v>244</v>
      </c>
    </row>
    <row r="59" spans="1:27" s="1" customFormat="1" ht="11.25" x14ac:dyDescent="0.2">
      <c r="A59" s="1" t="s">
        <v>334</v>
      </c>
      <c r="B59" s="1" t="s">
        <v>335</v>
      </c>
      <c r="C59" s="54">
        <v>44819</v>
      </c>
      <c r="D59" s="54">
        <v>44990</v>
      </c>
      <c r="E59" s="39">
        <f t="shared" si="0"/>
        <v>171</v>
      </c>
      <c r="F59" s="42">
        <v>212000</v>
      </c>
      <c r="G59" s="42">
        <f t="shared" si="1"/>
        <v>1239.766081871345</v>
      </c>
      <c r="H59" s="42"/>
      <c r="I59" s="42"/>
      <c r="J59" s="42"/>
      <c r="K59" s="42"/>
      <c r="L59" s="42"/>
      <c r="M59" s="42"/>
      <c r="N59" s="42"/>
      <c r="O59" s="42"/>
      <c r="P59" s="63">
        <f>(P$43-14)*G59</f>
        <v>19836.25730994152</v>
      </c>
      <c r="Q59" s="63">
        <f t="shared" si="4"/>
        <v>38432.748538011692</v>
      </c>
      <c r="R59" s="63">
        <f t="shared" si="3"/>
        <v>37192.982456140351</v>
      </c>
      <c r="S59" s="63">
        <f t="shared" si="2"/>
        <v>38432.748538011692</v>
      </c>
      <c r="U59" s="66" t="s">
        <v>276</v>
      </c>
      <c r="V59" s="67" t="s">
        <v>277</v>
      </c>
      <c r="W59" s="68">
        <v>44748</v>
      </c>
      <c r="X59" s="68">
        <v>44858</v>
      </c>
      <c r="Y59" s="70" t="s">
        <v>278</v>
      </c>
      <c r="Z59" s="67">
        <v>97</v>
      </c>
      <c r="AA59" s="67">
        <v>212</v>
      </c>
    </row>
    <row r="60" spans="1:27" s="1" customFormat="1" ht="11.25" x14ac:dyDescent="0.2">
      <c r="A60" s="1" t="s">
        <v>333</v>
      </c>
      <c r="B60" s="1" t="s">
        <v>2</v>
      </c>
      <c r="C60" s="54">
        <v>44811</v>
      </c>
      <c r="D60" s="54">
        <v>44928</v>
      </c>
      <c r="E60" s="39">
        <f t="shared" si="0"/>
        <v>117</v>
      </c>
      <c r="F60" s="42">
        <v>228300</v>
      </c>
      <c r="G60" s="42">
        <f t="shared" si="1"/>
        <v>1951.2820512820513</v>
      </c>
      <c r="H60" s="42"/>
      <c r="I60" s="42"/>
      <c r="J60" s="42"/>
      <c r="K60" s="42"/>
      <c r="L60" s="42"/>
      <c r="M60" s="42"/>
      <c r="N60" s="42"/>
      <c r="O60" s="42"/>
      <c r="P60" s="63">
        <f>(P$43-6)*G60</f>
        <v>46830.769230769234</v>
      </c>
      <c r="Q60" s="63">
        <f t="shared" si="4"/>
        <v>60489.743589743586</v>
      </c>
      <c r="R60" s="63">
        <f t="shared" si="3"/>
        <v>58538.461538461539</v>
      </c>
      <c r="S60" s="63">
        <f t="shared" si="2"/>
        <v>60489.743589743586</v>
      </c>
      <c r="U60" s="49" t="s">
        <v>282</v>
      </c>
      <c r="V60" s="50" t="s">
        <v>268</v>
      </c>
      <c r="W60" s="51">
        <v>44730</v>
      </c>
      <c r="X60" s="51">
        <v>44857</v>
      </c>
      <c r="Y60" s="52" t="s">
        <v>283</v>
      </c>
      <c r="Z60" s="50">
        <v>113</v>
      </c>
      <c r="AA60" s="50">
        <v>49</v>
      </c>
    </row>
    <row r="61" spans="1:27" s="1" customFormat="1" ht="11.25" x14ac:dyDescent="0.2">
      <c r="A61" s="1" t="s">
        <v>342</v>
      </c>
      <c r="B61" s="1" t="s">
        <v>343</v>
      </c>
      <c r="C61" s="54">
        <v>44726</v>
      </c>
      <c r="D61" s="54">
        <v>45018</v>
      </c>
      <c r="E61" s="39">
        <f t="shared" si="0"/>
        <v>292</v>
      </c>
      <c r="F61" s="42">
        <v>145000</v>
      </c>
      <c r="G61" s="42">
        <f t="shared" si="1"/>
        <v>496.57534246575341</v>
      </c>
      <c r="H61" s="42"/>
      <c r="I61" s="42"/>
      <c r="J61" s="42"/>
      <c r="K61" s="42"/>
      <c r="L61" s="42"/>
      <c r="M61" s="63">
        <f>(31-13)*G61</f>
        <v>8938.3561643835619</v>
      </c>
      <c r="N61" s="63">
        <f>N$43*$G61</f>
        <v>15393.835616438355</v>
      </c>
      <c r="O61" s="63">
        <f>O$43*$G61</f>
        <v>15393.835616438355</v>
      </c>
      <c r="P61" s="63">
        <f>P$43*G61</f>
        <v>14897.260273972603</v>
      </c>
      <c r="Q61" s="63">
        <f t="shared" si="4"/>
        <v>15393.835616438355</v>
      </c>
      <c r="R61" s="63">
        <f t="shared" si="3"/>
        <v>14897.260273972603</v>
      </c>
      <c r="S61" s="63">
        <f t="shared" si="2"/>
        <v>15393.835616438355</v>
      </c>
      <c r="U61" s="49" t="s">
        <v>254</v>
      </c>
      <c r="V61" s="50" t="s">
        <v>255</v>
      </c>
      <c r="W61" s="51">
        <v>44734</v>
      </c>
      <c r="X61" s="51">
        <v>44851</v>
      </c>
      <c r="Y61" s="59" t="s">
        <v>256</v>
      </c>
      <c r="Z61" s="50">
        <v>107</v>
      </c>
      <c r="AA61" s="50">
        <v>1494</v>
      </c>
    </row>
    <row r="62" spans="1:27" s="1" customFormat="1" ht="11.25" x14ac:dyDescent="0.2">
      <c r="A62" s="55" t="s">
        <v>292</v>
      </c>
      <c r="B62" s="55" t="s">
        <v>2</v>
      </c>
      <c r="C62" s="56">
        <v>44692</v>
      </c>
      <c r="D62" s="60">
        <v>44809</v>
      </c>
      <c r="E62" s="57">
        <f t="shared" si="0"/>
        <v>117</v>
      </c>
      <c r="F62" s="58">
        <v>267300</v>
      </c>
      <c r="G62" s="58">
        <f t="shared" si="1"/>
        <v>2284.6153846153848</v>
      </c>
      <c r="H62" s="42"/>
      <c r="I62" s="42"/>
      <c r="J62" s="42"/>
      <c r="K62" s="42"/>
      <c r="L62" s="42">
        <f>(31-10)*G62</f>
        <v>47976.923076923078</v>
      </c>
      <c r="M62" s="42">
        <f t="shared" ref="M62:M73" si="5">M$43*$G62</f>
        <v>68538.461538461546</v>
      </c>
      <c r="N62" s="42">
        <f>N$43*$G62</f>
        <v>70823.076923076922</v>
      </c>
      <c r="O62" s="42">
        <f>O$43*$G62</f>
        <v>70823.076923076922</v>
      </c>
      <c r="P62" s="42">
        <f>5*G62</f>
        <v>11423.076923076924</v>
      </c>
      <c r="Q62" s="42"/>
      <c r="R62" s="42"/>
      <c r="S62" s="42"/>
      <c r="U62" s="49" t="s">
        <v>267</v>
      </c>
      <c r="V62" s="50" t="s">
        <v>268</v>
      </c>
      <c r="W62" s="51">
        <v>44739</v>
      </c>
      <c r="X62" s="51">
        <v>44850</v>
      </c>
      <c r="Y62" s="52" t="s">
        <v>269</v>
      </c>
      <c r="Z62" s="50">
        <v>99</v>
      </c>
      <c r="AA62" s="50">
        <v>327</v>
      </c>
    </row>
    <row r="63" spans="1:27" s="1" customFormat="1" ht="11.25" x14ac:dyDescent="0.2">
      <c r="A63" s="55" t="s">
        <v>324</v>
      </c>
      <c r="B63" s="55" t="s">
        <v>325</v>
      </c>
      <c r="C63" s="56">
        <v>44679</v>
      </c>
      <c r="D63" s="60">
        <v>44767</v>
      </c>
      <c r="E63" s="57">
        <f t="shared" si="0"/>
        <v>88</v>
      </c>
      <c r="F63" s="58">
        <v>314800</v>
      </c>
      <c r="G63" s="58">
        <f t="shared" si="1"/>
        <v>3577.2727272727275</v>
      </c>
      <c r="H63" s="42"/>
      <c r="I63" s="42"/>
      <c r="J63" s="42"/>
      <c r="K63" s="42">
        <f>(30-27)*G63</f>
        <v>10731.818181818182</v>
      </c>
      <c r="L63" s="42">
        <f t="shared" ref="L63:L73" si="6">L$43*$G63</f>
        <v>110895.45454545456</v>
      </c>
      <c r="M63" s="42">
        <f t="shared" si="5"/>
        <v>107318.18181818182</v>
      </c>
      <c r="N63" s="42">
        <f>25*G63</f>
        <v>89431.818181818191</v>
      </c>
      <c r="O63" s="42"/>
      <c r="P63" s="42"/>
      <c r="Q63" s="42"/>
      <c r="R63" s="42"/>
      <c r="S63" s="42"/>
      <c r="U63" s="66" t="s">
        <v>264</v>
      </c>
      <c r="V63" s="67" t="s">
        <v>265</v>
      </c>
      <c r="W63" s="68">
        <v>44713</v>
      </c>
      <c r="X63" s="68">
        <v>44837</v>
      </c>
      <c r="Y63" s="70" t="s">
        <v>266</v>
      </c>
      <c r="Z63" s="67">
        <v>108</v>
      </c>
      <c r="AA63" s="67">
        <v>347</v>
      </c>
    </row>
    <row r="64" spans="1:27" s="1" customFormat="1" ht="11.25" x14ac:dyDescent="0.2">
      <c r="A64" s="1" t="s">
        <v>326</v>
      </c>
      <c r="B64" s="1" t="s">
        <v>46</v>
      </c>
      <c r="C64" s="54">
        <v>44673</v>
      </c>
      <c r="D64" s="54">
        <v>45053</v>
      </c>
      <c r="E64" s="39">
        <f t="shared" si="0"/>
        <v>380</v>
      </c>
      <c r="F64" s="42">
        <v>295000</v>
      </c>
      <c r="G64" s="42">
        <f t="shared" si="1"/>
        <v>776.31578947368416</v>
      </c>
      <c r="H64" s="42"/>
      <c r="I64" s="42"/>
      <c r="J64" s="42"/>
      <c r="K64" s="63">
        <f>(30-21)*G64</f>
        <v>6986.8421052631575</v>
      </c>
      <c r="L64" s="63">
        <f t="shared" si="6"/>
        <v>24065.78947368421</v>
      </c>
      <c r="M64" s="63">
        <f t="shared" si="5"/>
        <v>23289.473684210527</v>
      </c>
      <c r="N64" s="63">
        <f t="shared" ref="N64:S65" si="7">N$43*$G64</f>
        <v>24065.78947368421</v>
      </c>
      <c r="O64" s="63">
        <f t="shared" si="7"/>
        <v>24065.78947368421</v>
      </c>
      <c r="P64" s="63">
        <f t="shared" si="7"/>
        <v>23289.473684210527</v>
      </c>
      <c r="Q64" s="63">
        <f t="shared" si="7"/>
        <v>24065.78947368421</v>
      </c>
      <c r="R64" s="63">
        <f t="shared" si="7"/>
        <v>23289.473684210527</v>
      </c>
      <c r="S64" s="63">
        <f t="shared" si="7"/>
        <v>24065.78947368421</v>
      </c>
      <c r="U64" s="49" t="s">
        <v>257</v>
      </c>
      <c r="V64" s="50" t="s">
        <v>258</v>
      </c>
      <c r="W64" s="51">
        <v>44695</v>
      </c>
      <c r="X64" s="51">
        <v>44836</v>
      </c>
      <c r="Y64" s="52" t="s">
        <v>244</v>
      </c>
      <c r="Z64" s="50">
        <v>122</v>
      </c>
      <c r="AA64" s="50">
        <v>574</v>
      </c>
    </row>
    <row r="65" spans="1:27" s="1" customFormat="1" ht="11.25" x14ac:dyDescent="0.2">
      <c r="A65" s="1" t="s">
        <v>327</v>
      </c>
      <c r="B65" s="1" t="s">
        <v>82</v>
      </c>
      <c r="C65" s="54">
        <v>44667</v>
      </c>
      <c r="D65" s="61">
        <v>44926</v>
      </c>
      <c r="E65" s="39">
        <f t="shared" si="0"/>
        <v>259</v>
      </c>
      <c r="F65" s="42">
        <v>286500</v>
      </c>
      <c r="G65" s="42">
        <f t="shared" si="1"/>
        <v>1106.1776061776061</v>
      </c>
      <c r="H65" s="42"/>
      <c r="I65" s="42"/>
      <c r="J65" s="42"/>
      <c r="K65" s="63">
        <f>(30-15)*G65</f>
        <v>16592.66409266409</v>
      </c>
      <c r="L65" s="63">
        <f t="shared" si="6"/>
        <v>34291.505791505791</v>
      </c>
      <c r="M65" s="63">
        <f t="shared" si="5"/>
        <v>33185.328185328181</v>
      </c>
      <c r="N65" s="63">
        <f t="shared" si="7"/>
        <v>34291.505791505791</v>
      </c>
      <c r="O65" s="63">
        <f t="shared" si="7"/>
        <v>34291.505791505791</v>
      </c>
      <c r="P65" s="63">
        <f t="shared" si="7"/>
        <v>33185.328185328181</v>
      </c>
      <c r="Q65" s="63">
        <f t="shared" si="7"/>
        <v>34291.505791505791</v>
      </c>
      <c r="R65" s="63">
        <f t="shared" si="7"/>
        <v>33185.328185328181</v>
      </c>
      <c r="S65" s="63">
        <f t="shared" si="7"/>
        <v>34291.505791505791</v>
      </c>
      <c r="U65" s="49" t="s">
        <v>259</v>
      </c>
      <c r="V65" s="50" t="s">
        <v>260</v>
      </c>
      <c r="W65" s="51">
        <v>44723</v>
      </c>
      <c r="X65" s="51">
        <v>44836</v>
      </c>
      <c r="Y65" s="52" t="s">
        <v>261</v>
      </c>
      <c r="Z65" s="50">
        <v>97</v>
      </c>
      <c r="AA65" s="50">
        <v>670</v>
      </c>
    </row>
    <row r="66" spans="1:27" s="1" customFormat="1" ht="11.25" x14ac:dyDescent="0.2">
      <c r="A66" s="55" t="s">
        <v>318</v>
      </c>
      <c r="B66" s="55" t="s">
        <v>319</v>
      </c>
      <c r="C66" s="56">
        <v>44665</v>
      </c>
      <c r="D66" s="60">
        <v>44808</v>
      </c>
      <c r="E66" s="57">
        <f t="shared" si="0"/>
        <v>143</v>
      </c>
      <c r="F66" s="58">
        <v>723000</v>
      </c>
      <c r="G66" s="58">
        <f t="shared" si="1"/>
        <v>5055.9440559440563</v>
      </c>
      <c r="H66" s="42"/>
      <c r="I66" s="42"/>
      <c r="J66" s="42"/>
      <c r="K66" s="42">
        <f>(30-13)*G66</f>
        <v>85951.048951048957</v>
      </c>
      <c r="L66" s="42">
        <f t="shared" si="6"/>
        <v>156734.26573426573</v>
      </c>
      <c r="M66" s="42">
        <f t="shared" si="5"/>
        <v>151678.32167832169</v>
      </c>
      <c r="N66" s="42">
        <f>N$43*$G66</f>
        <v>156734.26573426573</v>
      </c>
      <c r="O66" s="42">
        <f>O$43*$G66</f>
        <v>156734.26573426573</v>
      </c>
      <c r="P66" s="42">
        <f>4*G66</f>
        <v>20223.776223776225</v>
      </c>
      <c r="Q66" s="42"/>
      <c r="R66" s="42"/>
      <c r="S66" s="42"/>
      <c r="U66" s="49" t="s">
        <v>262</v>
      </c>
      <c r="V66" s="50" t="s">
        <v>28</v>
      </c>
      <c r="W66" s="51">
        <v>44716</v>
      </c>
      <c r="X66" s="51">
        <v>44836</v>
      </c>
      <c r="Y66" s="52" t="s">
        <v>263</v>
      </c>
      <c r="Z66" s="50">
        <v>104</v>
      </c>
      <c r="AA66" s="50">
        <v>577</v>
      </c>
    </row>
    <row r="67" spans="1:27" s="1" customFormat="1" ht="11.25" x14ac:dyDescent="0.2">
      <c r="A67" s="55" t="s">
        <v>321</v>
      </c>
      <c r="B67" s="55" t="s">
        <v>317</v>
      </c>
      <c r="C67" s="56">
        <v>44663</v>
      </c>
      <c r="D67" s="60">
        <v>44794</v>
      </c>
      <c r="E67" s="57">
        <f t="shared" si="0"/>
        <v>131</v>
      </c>
      <c r="F67" s="58">
        <v>401300</v>
      </c>
      <c r="G67" s="58">
        <f t="shared" si="1"/>
        <v>3063.3587786259541</v>
      </c>
      <c r="H67" s="42"/>
      <c r="I67" s="42"/>
      <c r="J67" s="42"/>
      <c r="K67" s="42">
        <f>(30-11)*G67</f>
        <v>58203.816793893129</v>
      </c>
      <c r="L67" s="42">
        <f t="shared" si="6"/>
        <v>94964.122137404571</v>
      </c>
      <c r="M67" s="42">
        <f t="shared" si="5"/>
        <v>91900.763358778626</v>
      </c>
      <c r="N67" s="42">
        <f>N$43*$G67</f>
        <v>94964.122137404571</v>
      </c>
      <c r="O67" s="42">
        <f>21*G67</f>
        <v>64330.534351145034</v>
      </c>
      <c r="P67" s="42"/>
      <c r="Q67" s="42"/>
      <c r="R67" s="42"/>
      <c r="S67" s="42"/>
      <c r="U67" s="49" t="s">
        <v>279</v>
      </c>
      <c r="V67" s="50" t="s">
        <v>280</v>
      </c>
      <c r="W67" s="51">
        <v>44681</v>
      </c>
      <c r="X67" s="51">
        <v>44836</v>
      </c>
      <c r="Y67" s="52" t="s">
        <v>281</v>
      </c>
      <c r="Z67" s="50">
        <v>148</v>
      </c>
      <c r="AA67" s="50">
        <v>99</v>
      </c>
    </row>
    <row r="68" spans="1:27" s="1" customFormat="1" ht="11.25" x14ac:dyDescent="0.2">
      <c r="A68" s="55" t="s">
        <v>320</v>
      </c>
      <c r="B68" s="55" t="s">
        <v>317</v>
      </c>
      <c r="C68" s="56">
        <v>44663</v>
      </c>
      <c r="D68" s="60">
        <v>44759</v>
      </c>
      <c r="E68" s="57">
        <f t="shared" si="0"/>
        <v>96</v>
      </c>
      <c r="F68" s="58">
        <v>552500</v>
      </c>
      <c r="G68" s="58">
        <f t="shared" si="1"/>
        <v>5755.208333333333</v>
      </c>
      <c r="H68" s="42"/>
      <c r="I68" s="42"/>
      <c r="J68" s="42"/>
      <c r="K68" s="42">
        <f>(30-11)*G68</f>
        <v>109348.95833333333</v>
      </c>
      <c r="L68" s="42">
        <f t="shared" si="6"/>
        <v>178411.45833333331</v>
      </c>
      <c r="M68" s="42">
        <f t="shared" si="5"/>
        <v>172656.25</v>
      </c>
      <c r="N68" s="42">
        <f>17*G68</f>
        <v>97838.541666666657</v>
      </c>
      <c r="O68" s="42"/>
      <c r="P68" s="42"/>
      <c r="Q68" s="42"/>
      <c r="R68" s="42"/>
      <c r="S68" s="42"/>
      <c r="U68" s="49" t="s">
        <v>295</v>
      </c>
      <c r="V68" s="50" t="s">
        <v>296</v>
      </c>
      <c r="W68" s="51">
        <v>44694</v>
      </c>
      <c r="X68" s="51">
        <v>44823</v>
      </c>
      <c r="Y68" s="52" t="s">
        <v>297</v>
      </c>
      <c r="Z68" s="50">
        <v>102</v>
      </c>
      <c r="AA68" s="50">
        <v>843</v>
      </c>
    </row>
    <row r="69" spans="1:27" s="1" customFormat="1" ht="11.25" x14ac:dyDescent="0.2">
      <c r="A69" s="55" t="s">
        <v>353</v>
      </c>
      <c r="B69" s="55" t="s">
        <v>349</v>
      </c>
      <c r="C69" s="56">
        <v>44649</v>
      </c>
      <c r="D69" s="60">
        <v>44766</v>
      </c>
      <c r="E69" s="57">
        <f t="shared" si="0"/>
        <v>117</v>
      </c>
      <c r="F69" s="58">
        <v>116000</v>
      </c>
      <c r="G69" s="58">
        <f t="shared" si="1"/>
        <v>991.45299145299145</v>
      </c>
      <c r="H69" s="42"/>
      <c r="I69" s="42"/>
      <c r="J69" s="42">
        <f>3*G69</f>
        <v>2974.3589743589746</v>
      </c>
      <c r="K69" s="42">
        <f>K$43*$G69</f>
        <v>29743.589743589742</v>
      </c>
      <c r="L69" s="42">
        <f t="shared" si="6"/>
        <v>30735.042735042734</v>
      </c>
      <c r="M69" s="42">
        <f t="shared" si="5"/>
        <v>29743.589743589742</v>
      </c>
      <c r="N69" s="42">
        <f>24*G69</f>
        <v>23794.871794871797</v>
      </c>
      <c r="O69" s="42"/>
      <c r="P69" s="42"/>
      <c r="Q69" s="42"/>
      <c r="R69" s="42"/>
      <c r="S69" s="42"/>
      <c r="U69" s="49" t="s">
        <v>289</v>
      </c>
      <c r="V69" s="50" t="s">
        <v>290</v>
      </c>
      <c r="W69" s="51">
        <v>44687</v>
      </c>
      <c r="X69" s="51">
        <v>44822</v>
      </c>
      <c r="Y69" s="59" t="s">
        <v>291</v>
      </c>
      <c r="Z69" s="50">
        <v>136</v>
      </c>
      <c r="AA69" s="50">
        <v>1029</v>
      </c>
    </row>
    <row r="70" spans="1:27" s="1" customFormat="1" ht="11.25" x14ac:dyDescent="0.2">
      <c r="A70" s="55" t="s">
        <v>348</v>
      </c>
      <c r="B70" s="55" t="s">
        <v>349</v>
      </c>
      <c r="C70" s="56">
        <v>44630</v>
      </c>
      <c r="D70" s="60">
        <v>44752</v>
      </c>
      <c r="E70" s="57">
        <f t="shared" si="0"/>
        <v>122</v>
      </c>
      <c r="F70" s="58">
        <v>135300</v>
      </c>
      <c r="G70" s="58">
        <f t="shared" si="1"/>
        <v>1109.016393442623</v>
      </c>
      <c r="H70" s="42"/>
      <c r="I70" s="42"/>
      <c r="J70" s="42">
        <f>(31-9)*G70</f>
        <v>24398.360655737706</v>
      </c>
      <c r="K70" s="42">
        <f>K$43*$G70</f>
        <v>33270.491803278688</v>
      </c>
      <c r="L70" s="42">
        <f t="shared" si="6"/>
        <v>34379.508196721312</v>
      </c>
      <c r="M70" s="42">
        <f t="shared" si="5"/>
        <v>33270.491803278688</v>
      </c>
      <c r="N70" s="42">
        <f>10*G70</f>
        <v>11090.163934426229</v>
      </c>
      <c r="O70" s="42"/>
      <c r="P70" s="42"/>
      <c r="Q70" s="42"/>
      <c r="R70" s="42"/>
      <c r="S70" s="42"/>
      <c r="U70" s="49" t="s">
        <v>298</v>
      </c>
      <c r="V70" s="50" t="s">
        <v>299</v>
      </c>
      <c r="W70" s="51">
        <v>44699</v>
      </c>
      <c r="X70" s="51">
        <v>44822</v>
      </c>
      <c r="Y70" s="52" t="s">
        <v>300</v>
      </c>
      <c r="Z70" s="50">
        <v>106</v>
      </c>
      <c r="AA70" s="50">
        <v>683</v>
      </c>
    </row>
    <row r="71" spans="1:27" s="1" customFormat="1" ht="11.25" x14ac:dyDescent="0.2">
      <c r="A71" s="55" t="s">
        <v>322</v>
      </c>
      <c r="B71" s="55" t="s">
        <v>3</v>
      </c>
      <c r="C71" s="56">
        <v>44622</v>
      </c>
      <c r="D71" s="60">
        <v>44753</v>
      </c>
      <c r="E71" s="57">
        <f t="shared" si="0"/>
        <v>131</v>
      </c>
      <c r="F71" s="58">
        <v>352700</v>
      </c>
      <c r="G71" s="58">
        <f t="shared" si="1"/>
        <v>2692.3664122137407</v>
      </c>
      <c r="H71" s="42"/>
      <c r="I71" s="42"/>
      <c r="J71" s="42">
        <f>(31-1)*G71</f>
        <v>80770.992366412218</v>
      </c>
      <c r="K71" s="42">
        <f>K$43*$G71</f>
        <v>80770.992366412218</v>
      </c>
      <c r="L71" s="42">
        <f t="shared" si="6"/>
        <v>83463.35877862596</v>
      </c>
      <c r="M71" s="42">
        <f t="shared" si="5"/>
        <v>80770.992366412218</v>
      </c>
      <c r="N71" s="42">
        <f>11*G71</f>
        <v>29616.030534351146</v>
      </c>
      <c r="O71" s="42"/>
      <c r="P71" s="42"/>
      <c r="Q71" s="42"/>
      <c r="R71" s="42"/>
      <c r="S71" s="42"/>
      <c r="U71" s="49" t="s">
        <v>301</v>
      </c>
      <c r="V71" s="50" t="s">
        <v>302</v>
      </c>
      <c r="W71" s="51">
        <v>44721</v>
      </c>
      <c r="X71" s="51">
        <v>44822</v>
      </c>
      <c r="Y71" s="52" t="s">
        <v>303</v>
      </c>
      <c r="Z71" s="50">
        <v>88</v>
      </c>
      <c r="AA71" s="50">
        <v>1115</v>
      </c>
    </row>
    <row r="72" spans="1:27" s="1" customFormat="1" ht="11.25" x14ac:dyDescent="0.2">
      <c r="A72" s="55" t="s">
        <v>341</v>
      </c>
      <c r="B72" s="55" t="s">
        <v>90</v>
      </c>
      <c r="C72" s="56">
        <v>44622</v>
      </c>
      <c r="D72" s="60">
        <v>44752</v>
      </c>
      <c r="E72" s="57">
        <f t="shared" si="0"/>
        <v>130</v>
      </c>
      <c r="F72" s="58">
        <v>181500</v>
      </c>
      <c r="G72" s="58">
        <f t="shared" si="1"/>
        <v>1396.1538461538462</v>
      </c>
      <c r="H72" s="42"/>
      <c r="I72" s="42"/>
      <c r="J72" s="42">
        <f>(31-1)*G72</f>
        <v>41884.615384615383</v>
      </c>
      <c r="K72" s="42">
        <f>K$43*$G72</f>
        <v>41884.615384615383</v>
      </c>
      <c r="L72" s="42">
        <f t="shared" si="6"/>
        <v>43280.769230769234</v>
      </c>
      <c r="M72" s="42">
        <f t="shared" si="5"/>
        <v>41884.615384615383</v>
      </c>
      <c r="N72" s="42">
        <f>10*G72</f>
        <v>13961.538461538461</v>
      </c>
      <c r="O72" s="42"/>
      <c r="P72" s="42"/>
      <c r="Q72" s="42"/>
      <c r="R72" s="42"/>
      <c r="S72" s="42"/>
      <c r="U72" s="49" t="s">
        <v>304</v>
      </c>
      <c r="V72" s="50" t="s">
        <v>305</v>
      </c>
      <c r="W72" s="51">
        <v>44723</v>
      </c>
      <c r="X72" s="51">
        <v>44822</v>
      </c>
      <c r="Y72" s="52" t="s">
        <v>306</v>
      </c>
      <c r="Z72" s="50">
        <v>85</v>
      </c>
      <c r="AA72" s="50">
        <v>774</v>
      </c>
    </row>
    <row r="73" spans="1:27" s="1" customFormat="1" ht="11.25" x14ac:dyDescent="0.2">
      <c r="A73" s="1" t="s">
        <v>350</v>
      </c>
      <c r="B73" s="1" t="s">
        <v>343</v>
      </c>
      <c r="C73" s="54">
        <v>44611</v>
      </c>
      <c r="D73" s="54">
        <v>44934</v>
      </c>
      <c r="E73" s="39">
        <f t="shared" si="0"/>
        <v>323</v>
      </c>
      <c r="F73" s="42">
        <v>132800</v>
      </c>
      <c r="G73" s="42">
        <f t="shared" si="1"/>
        <v>411.14551083591329</v>
      </c>
      <c r="H73" s="42"/>
      <c r="I73" s="63">
        <f>(28-18)*G73</f>
        <v>4111.4551083591332</v>
      </c>
      <c r="J73" s="63">
        <f>J$43*$G73</f>
        <v>12745.510835913312</v>
      </c>
      <c r="K73" s="63">
        <f>K$43*$G73</f>
        <v>12334.365325077399</v>
      </c>
      <c r="L73" s="63">
        <f t="shared" si="6"/>
        <v>12745.510835913312</v>
      </c>
      <c r="M73" s="63">
        <f t="shared" si="5"/>
        <v>12334.365325077399</v>
      </c>
      <c r="N73" s="63">
        <f t="shared" ref="N73:S73" si="8">N$43*$G73</f>
        <v>12745.510835913312</v>
      </c>
      <c r="O73" s="63">
        <f t="shared" si="8"/>
        <v>12745.510835913312</v>
      </c>
      <c r="P73" s="63">
        <f t="shared" si="8"/>
        <v>12334.365325077399</v>
      </c>
      <c r="Q73" s="63">
        <f t="shared" si="8"/>
        <v>12745.510835913312</v>
      </c>
      <c r="R73" s="63">
        <f t="shared" si="8"/>
        <v>12334.365325077399</v>
      </c>
      <c r="S73" s="63">
        <f t="shared" si="8"/>
        <v>12745.510835913312</v>
      </c>
      <c r="U73" s="49" t="s">
        <v>310</v>
      </c>
      <c r="V73" s="50" t="s">
        <v>311</v>
      </c>
      <c r="W73" s="51">
        <v>44695</v>
      </c>
      <c r="X73" s="51">
        <v>44822</v>
      </c>
      <c r="Y73" s="52" t="s">
        <v>312</v>
      </c>
      <c r="Z73" s="50">
        <v>128</v>
      </c>
      <c r="AA73" s="50">
        <v>141</v>
      </c>
    </row>
    <row r="74" spans="1:27" s="1" customFormat="1" ht="11.25" x14ac:dyDescent="0.2">
      <c r="A74" s="55" t="s">
        <v>338</v>
      </c>
      <c r="B74" s="55" t="s">
        <v>2</v>
      </c>
      <c r="C74" s="56">
        <v>44608</v>
      </c>
      <c r="D74" s="60">
        <v>44732</v>
      </c>
      <c r="E74" s="57">
        <f t="shared" si="0"/>
        <v>124</v>
      </c>
      <c r="F74" s="58">
        <v>197600</v>
      </c>
      <c r="G74" s="58">
        <f t="shared" si="1"/>
        <v>1593.5483870967741</v>
      </c>
      <c r="H74" s="42"/>
      <c r="I74" s="42">
        <f>(28-15)*G74</f>
        <v>20716.129032258064</v>
      </c>
      <c r="J74" s="42">
        <f>J43*$G74</f>
        <v>49400</v>
      </c>
      <c r="K74" s="42">
        <f>K43*$G74</f>
        <v>47806.451612903227</v>
      </c>
      <c r="L74" s="42">
        <f>L43*$G74</f>
        <v>49400</v>
      </c>
      <c r="M74" s="42">
        <f>20*G74</f>
        <v>31870.967741935485</v>
      </c>
      <c r="N74" s="42"/>
      <c r="O74" s="42"/>
      <c r="P74" s="42"/>
      <c r="Q74" s="42"/>
      <c r="R74" s="42"/>
      <c r="S74" s="42"/>
      <c r="U74" s="66" t="s">
        <v>292</v>
      </c>
      <c r="V74" s="67" t="s">
        <v>293</v>
      </c>
      <c r="W74" s="68">
        <v>44692</v>
      </c>
      <c r="X74" s="68">
        <v>44809</v>
      </c>
      <c r="Y74" s="69" t="s">
        <v>294</v>
      </c>
      <c r="Z74" s="67">
        <v>101</v>
      </c>
      <c r="AA74" s="67">
        <v>2646</v>
      </c>
    </row>
    <row r="75" spans="1:27" s="1" customFormat="1" ht="11.25" x14ac:dyDescent="0.2">
      <c r="A75" s="55" t="s">
        <v>354</v>
      </c>
      <c r="B75" s="55" t="s">
        <v>317</v>
      </c>
      <c r="C75" s="56">
        <v>44562</v>
      </c>
      <c r="D75" s="60">
        <v>44605</v>
      </c>
      <c r="E75" s="57">
        <f t="shared" si="0"/>
        <v>43</v>
      </c>
      <c r="F75" s="58">
        <v>115400</v>
      </c>
      <c r="G75" s="58">
        <f t="shared" si="1"/>
        <v>2683.7209302325582</v>
      </c>
      <c r="H75" s="42">
        <f>G75*31</f>
        <v>83195.348837209298</v>
      </c>
      <c r="I75" s="42">
        <f>G75*13</f>
        <v>34888.372093023259</v>
      </c>
      <c r="J75" s="42"/>
      <c r="K75" s="42"/>
      <c r="L75" s="42"/>
      <c r="M75" s="42"/>
      <c r="N75" s="42"/>
      <c r="O75" s="42"/>
      <c r="P75" s="42"/>
      <c r="Q75" s="42"/>
      <c r="R75" s="42"/>
      <c r="S75" s="42"/>
      <c r="U75" s="66" t="s">
        <v>307</v>
      </c>
      <c r="V75" s="67" t="s">
        <v>308</v>
      </c>
      <c r="W75" s="68">
        <v>44728</v>
      </c>
      <c r="X75" s="68">
        <v>44808</v>
      </c>
      <c r="Y75" s="70" t="s">
        <v>309</v>
      </c>
      <c r="Z75" s="67">
        <v>59</v>
      </c>
      <c r="AA75" s="67">
        <v>736</v>
      </c>
    </row>
    <row r="76" spans="1:27" x14ac:dyDescent="0.2">
      <c r="A76" s="89" t="s">
        <v>400</v>
      </c>
      <c r="B76" s="90"/>
      <c r="C76" s="90"/>
      <c r="D76" s="90"/>
      <c r="E76" s="90"/>
      <c r="F76" s="90"/>
      <c r="G76" s="91" t="s">
        <v>407</v>
      </c>
      <c r="H76" s="92">
        <f>SUM(H45:H75)</f>
        <v>83195.348837209298</v>
      </c>
      <c r="I76" s="92">
        <f t="shared" ref="I76:S76" si="9">SUM(I45:I75)</f>
        <v>59715.956233640456</v>
      </c>
      <c r="J76" s="92">
        <f t="shared" si="9"/>
        <v>212173.83821703758</v>
      </c>
      <c r="K76" s="92">
        <f t="shared" si="9"/>
        <v>533625.65469389746</v>
      </c>
      <c r="L76" s="92">
        <f t="shared" si="9"/>
        <v>901343.70886964386</v>
      </c>
      <c r="M76" s="92">
        <f t="shared" si="9"/>
        <v>887380.15879257489</v>
      </c>
      <c r="N76" s="92">
        <f t="shared" si="9"/>
        <v>674751.07108596142</v>
      </c>
      <c r="O76" s="92">
        <f t="shared" si="9"/>
        <v>378384.51872602938</v>
      </c>
      <c r="P76" s="92">
        <f t="shared" si="9"/>
        <v>227652.14662203143</v>
      </c>
      <c r="Q76" s="92">
        <f t="shared" si="9"/>
        <v>807437.61356743192</v>
      </c>
      <c r="R76" s="92">
        <f t="shared" si="9"/>
        <v>961946.07088306872</v>
      </c>
      <c r="S76" s="92">
        <f t="shared" si="9"/>
        <v>1036195.8062226647</v>
      </c>
    </row>
    <row r="77" spans="1:27" x14ac:dyDescent="0.2">
      <c r="A77" s="1" t="s">
        <v>378</v>
      </c>
      <c r="B77" s="1" t="s">
        <v>376</v>
      </c>
      <c r="C77" s="54">
        <v>44489</v>
      </c>
      <c r="D77" s="54">
        <v>44627</v>
      </c>
      <c r="E77" s="39">
        <f>_xlfn.DAYS(D77,C77)</f>
        <v>138</v>
      </c>
      <c r="F77" s="42">
        <v>225743</v>
      </c>
      <c r="G77" s="53">
        <f>F77/E77</f>
        <v>1635.8188405797102</v>
      </c>
      <c r="H77" s="42">
        <f>$G77*H$43</f>
        <v>50710.384057971016</v>
      </c>
      <c r="I77" s="42">
        <f>$G77*I$43</f>
        <v>45802.927536231888</v>
      </c>
      <c r="J77" s="42">
        <f>$G77*7</f>
        <v>11450.731884057972</v>
      </c>
    </row>
    <row r="78" spans="1:27" x14ac:dyDescent="0.2">
      <c r="A78" s="1" t="s">
        <v>387</v>
      </c>
      <c r="B78" s="1" t="s">
        <v>329</v>
      </c>
      <c r="C78" s="54">
        <v>44489</v>
      </c>
      <c r="D78" s="54">
        <v>44612</v>
      </c>
      <c r="E78" s="62">
        <f>_xlfn.DAYS(D78,C78)-31-20</f>
        <v>72</v>
      </c>
      <c r="F78" s="43">
        <v>110164</v>
      </c>
      <c r="G78" s="53">
        <f t="shared" ref="G78:G93" si="10">F78/E78</f>
        <v>1530.0555555555557</v>
      </c>
      <c r="H78" s="42">
        <f>$G78*H$43</f>
        <v>47431.722222222226</v>
      </c>
      <c r="I78" s="42">
        <f>$G78*20</f>
        <v>30601.111111111113</v>
      </c>
    </row>
    <row r="79" spans="1:27" x14ac:dyDescent="0.2">
      <c r="A79" s="71" t="s">
        <v>383</v>
      </c>
      <c r="B79" s="71" t="s">
        <v>377</v>
      </c>
      <c r="C79" s="72">
        <v>44481</v>
      </c>
      <c r="D79" s="72">
        <v>44605</v>
      </c>
      <c r="E79" s="73">
        <f>_xlfn.DAYS(D79,C79)-31-13</f>
        <v>80</v>
      </c>
      <c r="F79" s="74">
        <v>192200</v>
      </c>
      <c r="G79" s="75">
        <f t="shared" si="10"/>
        <v>2402.5</v>
      </c>
      <c r="H79" s="44">
        <f>$G79*H$43</f>
        <v>74477.5</v>
      </c>
      <c r="I79" s="44">
        <f>$G79*13</f>
        <v>31232.5</v>
      </c>
    </row>
    <row r="80" spans="1:27" x14ac:dyDescent="0.2">
      <c r="A80" s="1" t="s">
        <v>354</v>
      </c>
      <c r="B80" s="1" t="s">
        <v>317</v>
      </c>
      <c r="C80" s="54">
        <v>44481</v>
      </c>
      <c r="D80" s="54">
        <v>44605</v>
      </c>
      <c r="E80" s="39">
        <f t="shared" ref="E80:E92" si="11">_xlfn.DAYS(D80,C80)</f>
        <v>124</v>
      </c>
      <c r="F80" s="42">
        <v>356142</v>
      </c>
      <c r="G80" s="53">
        <f t="shared" si="10"/>
        <v>2872.1129032258063</v>
      </c>
      <c r="H80" s="42">
        <f>$G80*H$43</f>
        <v>89035.5</v>
      </c>
      <c r="I80" s="42">
        <f>$G80*13</f>
        <v>37337.467741935485</v>
      </c>
    </row>
    <row r="81" spans="1:19" x14ac:dyDescent="0.2">
      <c r="A81" s="1" t="s">
        <v>385</v>
      </c>
      <c r="B81" s="1" t="s">
        <v>375</v>
      </c>
      <c r="C81" s="54">
        <v>44474</v>
      </c>
      <c r="D81" s="54">
        <v>44584</v>
      </c>
      <c r="E81" s="39">
        <f t="shared" si="11"/>
        <v>110</v>
      </c>
      <c r="F81" s="42">
        <v>130021</v>
      </c>
      <c r="G81" s="53">
        <f t="shared" si="10"/>
        <v>1182.0090909090909</v>
      </c>
      <c r="H81" s="42">
        <f>$G81*23</f>
        <v>27186.209090909091</v>
      </c>
    </row>
    <row r="82" spans="1:19" x14ac:dyDescent="0.2">
      <c r="A82" s="1" t="s">
        <v>379</v>
      </c>
      <c r="B82" s="1" t="s">
        <v>380</v>
      </c>
      <c r="C82" s="54">
        <v>44471</v>
      </c>
      <c r="D82" s="54">
        <v>44738</v>
      </c>
      <c r="E82" s="39">
        <f t="shared" si="11"/>
        <v>267</v>
      </c>
      <c r="F82" s="42">
        <v>221000</v>
      </c>
      <c r="G82" s="53">
        <f t="shared" si="10"/>
        <v>827.71535580524346</v>
      </c>
      <c r="H82" s="42">
        <f>$G82*H$43</f>
        <v>25659.176029962546</v>
      </c>
      <c r="I82" s="42">
        <f>$G82*I$43</f>
        <v>23176.029962546818</v>
      </c>
      <c r="J82" s="42">
        <f>$G82*J$43</f>
        <v>25659.176029962546</v>
      </c>
      <c r="K82" s="42">
        <f>$G82*K$43</f>
        <v>24831.460674157304</v>
      </c>
      <c r="L82" s="42">
        <f>$G82*L$43</f>
        <v>25659.176029962546</v>
      </c>
      <c r="M82" s="42">
        <f>$G82*26</f>
        <v>21520.599250936331</v>
      </c>
    </row>
    <row r="83" spans="1:19" x14ac:dyDescent="0.2">
      <c r="A83" s="1" t="s">
        <v>373</v>
      </c>
      <c r="B83" s="1" t="s">
        <v>329</v>
      </c>
      <c r="C83" s="54">
        <v>44469</v>
      </c>
      <c r="D83" s="54">
        <v>44675</v>
      </c>
      <c r="E83" s="39">
        <f t="shared" si="11"/>
        <v>206</v>
      </c>
      <c r="F83" s="42">
        <v>423368</v>
      </c>
      <c r="G83" s="53">
        <f t="shared" si="10"/>
        <v>2055.1844660194174</v>
      </c>
      <c r="H83" s="42">
        <f>$G83*H$43</f>
        <v>63710.718446601939</v>
      </c>
      <c r="I83" s="42">
        <f>$G83*I$43</f>
        <v>57545.165048543684</v>
      </c>
      <c r="J83" s="42">
        <f>$G83*J$43</f>
        <v>63710.718446601939</v>
      </c>
      <c r="K83" s="42">
        <f>$G83*24</f>
        <v>49324.427184466018</v>
      </c>
    </row>
    <row r="84" spans="1:19" x14ac:dyDescent="0.2">
      <c r="A84" s="1" t="s">
        <v>384</v>
      </c>
      <c r="B84" s="1" t="s">
        <v>325</v>
      </c>
      <c r="C84" s="54">
        <v>44469</v>
      </c>
      <c r="D84" s="54">
        <v>44599</v>
      </c>
      <c r="E84" s="39">
        <f t="shared" si="11"/>
        <v>130</v>
      </c>
      <c r="F84" s="42">
        <v>136616</v>
      </c>
      <c r="G84" s="53">
        <f t="shared" si="10"/>
        <v>1050.8923076923077</v>
      </c>
      <c r="H84" s="42">
        <f>$G84*H$43</f>
        <v>32577.661538461536</v>
      </c>
      <c r="I84" s="42">
        <f>$G84*7</f>
        <v>7356.2461538461539</v>
      </c>
    </row>
    <row r="85" spans="1:19" x14ac:dyDescent="0.2">
      <c r="A85" s="1" t="s">
        <v>374</v>
      </c>
      <c r="B85" s="1" t="s">
        <v>375</v>
      </c>
      <c r="C85" s="54">
        <v>44467</v>
      </c>
      <c r="D85" s="54">
        <v>44570</v>
      </c>
      <c r="E85" s="39">
        <f t="shared" si="11"/>
        <v>103</v>
      </c>
      <c r="F85" s="42">
        <v>300084</v>
      </c>
      <c r="G85" s="53">
        <f t="shared" si="10"/>
        <v>2913.4368932038833</v>
      </c>
      <c r="H85" s="42">
        <f>$G85*9</f>
        <v>26220.932038834952</v>
      </c>
    </row>
    <row r="86" spans="1:19" x14ac:dyDescent="0.2">
      <c r="A86" s="1" t="s">
        <v>390</v>
      </c>
      <c r="B86" s="1" t="s">
        <v>391</v>
      </c>
      <c r="C86" s="54">
        <v>44467</v>
      </c>
      <c r="D86" s="54">
        <v>44577</v>
      </c>
      <c r="E86" s="39">
        <f t="shared" si="11"/>
        <v>110</v>
      </c>
      <c r="F86" s="42">
        <v>149831</v>
      </c>
      <c r="G86" s="53">
        <f t="shared" si="10"/>
        <v>1362.1</v>
      </c>
      <c r="H86" s="42">
        <f>$G86*16</f>
        <v>21793.599999999999</v>
      </c>
    </row>
    <row r="87" spans="1:19" x14ac:dyDescent="0.2">
      <c r="A87" s="1" t="s">
        <v>393</v>
      </c>
      <c r="B87" s="1" t="s">
        <v>317</v>
      </c>
      <c r="C87" s="54">
        <v>44467</v>
      </c>
      <c r="D87" s="54">
        <v>44577</v>
      </c>
      <c r="E87" s="39">
        <f t="shared" si="11"/>
        <v>110</v>
      </c>
      <c r="F87" s="42">
        <v>211675</v>
      </c>
      <c r="G87" s="53">
        <f t="shared" si="10"/>
        <v>1924.3181818181818</v>
      </c>
      <c r="H87" s="42">
        <f>$G87*16</f>
        <v>30789.090909090908</v>
      </c>
    </row>
    <row r="88" spans="1:19" x14ac:dyDescent="0.2">
      <c r="A88" s="1" t="s">
        <v>386</v>
      </c>
      <c r="B88" s="1" t="s">
        <v>376</v>
      </c>
      <c r="C88" s="54">
        <v>44464</v>
      </c>
      <c r="D88" s="54">
        <v>44690</v>
      </c>
      <c r="E88" s="39">
        <f t="shared" si="11"/>
        <v>226</v>
      </c>
      <c r="F88" s="42">
        <v>116823</v>
      </c>
      <c r="G88" s="53">
        <f t="shared" si="10"/>
        <v>516.9159292035398</v>
      </c>
      <c r="H88" s="42">
        <f>$G88*H$43</f>
        <v>16024.393805309734</v>
      </c>
      <c r="I88" s="42">
        <f>$G88*I$43</f>
        <v>14473.646017699115</v>
      </c>
      <c r="J88" s="42">
        <f>$G88*J$43</f>
        <v>16024.393805309734</v>
      </c>
      <c r="K88" s="42">
        <f>$G88*K$43</f>
        <v>15507.477876106193</v>
      </c>
      <c r="L88" s="42">
        <f>$G88*9</f>
        <v>4652.2433628318586</v>
      </c>
    </row>
    <row r="89" spans="1:19" x14ac:dyDescent="0.2">
      <c r="A89" s="1" t="s">
        <v>392</v>
      </c>
      <c r="B89" s="1" t="s">
        <v>3</v>
      </c>
      <c r="C89" s="54">
        <v>44454</v>
      </c>
      <c r="D89" s="54">
        <v>44571</v>
      </c>
      <c r="E89" s="39">
        <f t="shared" si="11"/>
        <v>117</v>
      </c>
      <c r="F89" s="42">
        <v>217628</v>
      </c>
      <c r="G89" s="53">
        <f t="shared" si="10"/>
        <v>1860.068376068376</v>
      </c>
      <c r="H89" s="42">
        <f>$G89*10</f>
        <v>18600.683760683758</v>
      </c>
    </row>
    <row r="90" spans="1:19" x14ac:dyDescent="0.2">
      <c r="A90" s="1" t="s">
        <v>382</v>
      </c>
      <c r="B90" s="1" t="s">
        <v>90</v>
      </c>
      <c r="C90" s="54">
        <v>44453</v>
      </c>
      <c r="D90" s="54">
        <v>44577</v>
      </c>
      <c r="E90" s="39">
        <f t="shared" si="11"/>
        <v>124</v>
      </c>
      <c r="F90" s="42">
        <v>212363</v>
      </c>
      <c r="G90" s="53">
        <f t="shared" si="10"/>
        <v>1712.6048387096773</v>
      </c>
      <c r="H90" s="42">
        <f>$G90*16</f>
        <v>27401.677419354837</v>
      </c>
    </row>
    <row r="91" spans="1:19" x14ac:dyDescent="0.2">
      <c r="A91" s="1" t="s">
        <v>388</v>
      </c>
      <c r="B91" s="1" t="s">
        <v>389</v>
      </c>
      <c r="C91" s="54">
        <v>44449</v>
      </c>
      <c r="D91" s="54">
        <v>44585</v>
      </c>
      <c r="E91" s="39">
        <f t="shared" si="11"/>
        <v>136</v>
      </c>
      <c r="F91" s="42">
        <v>265000</v>
      </c>
      <c r="G91" s="53">
        <f t="shared" si="10"/>
        <v>1948.5294117647059</v>
      </c>
      <c r="H91" s="42">
        <f>$G91*24</f>
        <v>46764.705882352937</v>
      </c>
    </row>
    <row r="92" spans="1:19" x14ac:dyDescent="0.2">
      <c r="A92" s="1" t="s">
        <v>381</v>
      </c>
      <c r="B92" s="1" t="s">
        <v>82</v>
      </c>
      <c r="C92" s="54">
        <v>44335</v>
      </c>
      <c r="D92" s="54">
        <v>44626</v>
      </c>
      <c r="E92" s="39">
        <f t="shared" si="11"/>
        <v>291</v>
      </c>
      <c r="F92" s="42">
        <v>215778</v>
      </c>
      <c r="G92" s="53">
        <f t="shared" si="10"/>
        <v>741.5051546391752</v>
      </c>
      <c r="H92" s="42">
        <f>$G92*H$43</f>
        <v>22986.65979381443</v>
      </c>
      <c r="I92" s="42">
        <f>$G92*I$43</f>
        <v>20762.144329896906</v>
      </c>
      <c r="J92" s="42">
        <f>$G92*6</f>
        <v>4449.0309278350514</v>
      </c>
    </row>
    <row r="93" spans="1:19" x14ac:dyDescent="0.2">
      <c r="A93" s="1" t="s">
        <v>381</v>
      </c>
      <c r="B93" s="1" t="s">
        <v>88</v>
      </c>
      <c r="C93" s="54">
        <v>44335</v>
      </c>
      <c r="D93" s="54">
        <v>44563</v>
      </c>
      <c r="E93" s="62">
        <f>_xlfn.DAYS(D93,C93)-1</f>
        <v>227</v>
      </c>
      <c r="F93" s="43">
        <v>183946</v>
      </c>
      <c r="G93" s="53">
        <f t="shared" si="10"/>
        <v>810.33480176211458</v>
      </c>
      <c r="H93" s="42">
        <f>2*G93</f>
        <v>1620.6696035242292</v>
      </c>
    </row>
    <row r="94" spans="1:19" x14ac:dyDescent="0.2">
      <c r="G94" s="91" t="s">
        <v>407</v>
      </c>
      <c r="H94" s="92">
        <f>SUM(H77:H93)-H79</f>
        <v>548513.78459909407</v>
      </c>
      <c r="I94" s="92">
        <f>SUM(I77:I93)-I79</f>
        <v>237054.73790181114</v>
      </c>
      <c r="J94" s="92">
        <f>SUM(J77:J93)</f>
        <v>121294.05109376724</v>
      </c>
      <c r="K94" s="92">
        <f>SUM(K77:K93)</f>
        <v>89663.365734729508</v>
      </c>
      <c r="L94" s="92">
        <f>SUM(L77:L93)</f>
        <v>30311.419392794403</v>
      </c>
      <c r="M94" s="92">
        <f>SUM(M77:M93)</f>
        <v>21520.599250936331</v>
      </c>
      <c r="N94" s="92"/>
      <c r="O94" s="92"/>
      <c r="P94" s="92"/>
      <c r="Q94" s="92"/>
      <c r="R94" s="92"/>
      <c r="S94" s="92"/>
    </row>
    <row r="95" spans="1:19" x14ac:dyDescent="0.2">
      <c r="G95" s="93" t="s">
        <v>408</v>
      </c>
      <c r="H95" s="94">
        <f t="shared" ref="H95:S95" si="12">H94+H76</f>
        <v>631709.13343630335</v>
      </c>
      <c r="I95" s="94">
        <f t="shared" si="12"/>
        <v>296770.69413545157</v>
      </c>
      <c r="J95" s="94">
        <f t="shared" si="12"/>
        <v>333467.88931080484</v>
      </c>
      <c r="K95" s="94">
        <f t="shared" si="12"/>
        <v>623289.02042862703</v>
      </c>
      <c r="L95" s="94">
        <f t="shared" si="12"/>
        <v>931655.12826243823</v>
      </c>
      <c r="M95" s="94">
        <f t="shared" si="12"/>
        <v>908900.75804351119</v>
      </c>
      <c r="N95" s="94">
        <f t="shared" si="12"/>
        <v>674751.07108596142</v>
      </c>
      <c r="O95" s="94">
        <f t="shared" si="12"/>
        <v>378384.51872602938</v>
      </c>
      <c r="P95" s="94">
        <f t="shared" si="12"/>
        <v>227652.14662203143</v>
      </c>
      <c r="Q95" s="94">
        <f t="shared" si="12"/>
        <v>807437.61356743192</v>
      </c>
      <c r="R95" s="94">
        <f t="shared" si="12"/>
        <v>961946.07088306872</v>
      </c>
      <c r="S95" s="94">
        <f t="shared" si="12"/>
        <v>1036195.8062226647</v>
      </c>
    </row>
    <row r="96" spans="1:19" x14ac:dyDescent="0.2">
      <c r="G96" t="s">
        <v>409</v>
      </c>
      <c r="H96" s="64">
        <f>COUNT(H77:H93,H45:H75)-1</f>
        <v>17</v>
      </c>
      <c r="I96" s="64">
        <f>COUNT(I77:I93,I45:I75)-1</f>
        <v>11</v>
      </c>
      <c r="J96" s="65">
        <f t="shared" ref="J96:S96" si="13">COUNT(J77:J93,J45:J75)</f>
        <v>11</v>
      </c>
      <c r="K96" s="65">
        <f t="shared" si="13"/>
        <v>15</v>
      </c>
      <c r="L96" s="65">
        <f t="shared" si="13"/>
        <v>15</v>
      </c>
      <c r="M96" s="65">
        <f t="shared" si="13"/>
        <v>15</v>
      </c>
      <c r="N96" s="65">
        <f t="shared" si="13"/>
        <v>13</v>
      </c>
      <c r="O96" s="65">
        <f t="shared" si="13"/>
        <v>7</v>
      </c>
      <c r="P96" s="65">
        <f t="shared" si="13"/>
        <v>12</v>
      </c>
      <c r="Q96" s="65">
        <f t="shared" si="13"/>
        <v>18</v>
      </c>
      <c r="R96" s="65">
        <f t="shared" si="13"/>
        <v>20</v>
      </c>
      <c r="S96" s="65">
        <f t="shared" si="13"/>
        <v>20</v>
      </c>
    </row>
    <row r="100" spans="14:14" x14ac:dyDescent="0.2">
      <c r="N100" s="53"/>
    </row>
  </sheetData>
  <mergeCells count="1">
    <mergeCell ref="A42:G42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1"/>
  <sheetViews>
    <sheetView zoomScaleNormal="100" workbookViewId="0"/>
  </sheetViews>
  <sheetFormatPr baseColWidth="10" defaultRowHeight="12.75" x14ac:dyDescent="0.2"/>
  <cols>
    <col min="1" max="1" width="49.85546875" customWidth="1"/>
    <col min="2" max="2" width="13.28515625" bestFit="1" customWidth="1"/>
    <col min="4" max="4" width="12.85546875" customWidth="1"/>
    <col min="6" max="6" width="13.28515625" bestFit="1" customWidth="1"/>
    <col min="7" max="7" width="11.7109375" bestFit="1" customWidth="1"/>
    <col min="8" max="8" width="17.28515625" bestFit="1" customWidth="1"/>
    <col min="9" max="9" width="10.140625" bestFit="1" customWidth="1"/>
    <col min="10" max="10" width="13.28515625" bestFit="1" customWidth="1"/>
    <col min="14" max="14" width="13.140625" customWidth="1"/>
    <col min="18" max="18" width="13.28515625" customWidth="1"/>
    <col min="22" max="22" width="13.7109375" customWidth="1"/>
  </cols>
  <sheetData>
    <row r="1" spans="1:25" x14ac:dyDescent="0.2">
      <c r="A1" s="9" t="s">
        <v>462</v>
      </c>
      <c r="B1" s="1"/>
      <c r="H1" s="8"/>
    </row>
    <row r="2" spans="1:25" x14ac:dyDescent="0.2">
      <c r="A2" s="1"/>
      <c r="B2" s="1"/>
    </row>
    <row r="3" spans="1:25" x14ac:dyDescent="0.2">
      <c r="A3" s="198"/>
      <c r="B3" s="78">
        <v>2017</v>
      </c>
      <c r="C3" s="78">
        <v>2018</v>
      </c>
      <c r="D3" s="78">
        <v>2019</v>
      </c>
      <c r="E3" s="78">
        <v>2020</v>
      </c>
      <c r="F3" s="78">
        <v>2021</v>
      </c>
      <c r="G3" s="78">
        <v>2022</v>
      </c>
    </row>
    <row r="4" spans="1:25" x14ac:dyDescent="0.2">
      <c r="A4" s="199" t="s">
        <v>455</v>
      </c>
      <c r="B4" s="42">
        <v>16366450.906999996</v>
      </c>
      <c r="C4" s="42">
        <v>17120478.935800001</v>
      </c>
      <c r="D4" s="42">
        <v>17230368.210000001</v>
      </c>
      <c r="E4" s="42">
        <v>8352544.602</v>
      </c>
      <c r="F4" s="42">
        <v>10002191.619999999</v>
      </c>
      <c r="G4" s="42">
        <v>16625447.340000004</v>
      </c>
    </row>
    <row r="5" spans="1:25" x14ac:dyDescent="0.2">
      <c r="A5" s="199" t="s">
        <v>38</v>
      </c>
      <c r="B5" s="42">
        <v>19055867.092999998</v>
      </c>
      <c r="C5" s="42">
        <v>20963938.064199992</v>
      </c>
      <c r="D5" s="42">
        <v>20932915.789999995</v>
      </c>
      <c r="E5" s="42">
        <v>3239173.398</v>
      </c>
      <c r="F5" s="42">
        <v>4501688.3800000008</v>
      </c>
      <c r="G5" s="42">
        <v>16990451.66</v>
      </c>
    </row>
    <row r="6" spans="1:25" x14ac:dyDescent="0.2">
      <c r="A6" s="1"/>
      <c r="B6" s="181"/>
      <c r="C6" s="181"/>
      <c r="D6" s="181"/>
      <c r="E6" s="181"/>
      <c r="F6" s="181"/>
      <c r="G6" s="181"/>
      <c r="H6" s="1"/>
      <c r="I6" s="1"/>
    </row>
    <row r="7" spans="1:25" x14ac:dyDescent="0.2">
      <c r="A7" s="23" t="s">
        <v>460</v>
      </c>
      <c r="B7" s="1"/>
      <c r="C7" s="1"/>
      <c r="D7" s="4"/>
      <c r="E7" s="1"/>
      <c r="F7" s="1"/>
      <c r="G7" s="1"/>
      <c r="H7" s="1"/>
      <c r="I7" s="1"/>
    </row>
    <row r="8" spans="1:25" x14ac:dyDescent="0.2">
      <c r="A8" s="23" t="s">
        <v>202</v>
      </c>
      <c r="B8" s="1"/>
      <c r="C8" s="1"/>
      <c r="D8" s="1"/>
      <c r="E8" s="1"/>
      <c r="F8" s="1"/>
      <c r="G8" s="1"/>
      <c r="H8" s="4"/>
      <c r="I8" s="1"/>
    </row>
    <row r="9" spans="1:25" x14ac:dyDescent="0.2">
      <c r="B9" s="179"/>
      <c r="C9" s="179"/>
      <c r="D9" s="180"/>
      <c r="E9" s="179"/>
      <c r="F9" s="179"/>
      <c r="G9" s="179"/>
      <c r="H9" s="180"/>
      <c r="I9" s="179"/>
    </row>
    <row r="10" spans="1:25" x14ac:dyDescent="0.2">
      <c r="A10" s="183"/>
      <c r="B10" s="216">
        <v>2017</v>
      </c>
      <c r="C10" s="217"/>
      <c r="D10" s="217"/>
      <c r="E10" s="218"/>
      <c r="F10" s="216">
        <v>2018</v>
      </c>
      <c r="G10" s="217"/>
      <c r="H10" s="217"/>
      <c r="I10" s="218"/>
      <c r="J10" s="216">
        <v>2019</v>
      </c>
      <c r="K10" s="217"/>
      <c r="L10" s="217"/>
      <c r="M10" s="218"/>
      <c r="N10" s="216">
        <v>2020</v>
      </c>
      <c r="O10" s="217"/>
      <c r="P10" s="217"/>
      <c r="Q10" s="218"/>
      <c r="R10" s="216">
        <v>2021</v>
      </c>
      <c r="S10" s="217"/>
      <c r="T10" s="217"/>
      <c r="U10" s="217"/>
      <c r="V10" s="216">
        <v>2022</v>
      </c>
      <c r="W10" s="217"/>
      <c r="X10" s="217"/>
      <c r="Y10" s="217"/>
    </row>
    <row r="11" spans="1:25" ht="56.25" x14ac:dyDescent="0.2">
      <c r="A11" s="184" t="s">
        <v>15</v>
      </c>
      <c r="B11" s="185" t="s">
        <v>461</v>
      </c>
      <c r="C11" s="186" t="s">
        <v>38</v>
      </c>
      <c r="D11" s="186" t="s">
        <v>456</v>
      </c>
      <c r="E11" s="187" t="s">
        <v>457</v>
      </c>
      <c r="F11" s="186" t="s">
        <v>461</v>
      </c>
      <c r="G11" s="186" t="s">
        <v>38</v>
      </c>
      <c r="H11" s="186" t="s">
        <v>456</v>
      </c>
      <c r="I11" s="187" t="s">
        <v>457</v>
      </c>
      <c r="J11" s="186" t="s">
        <v>461</v>
      </c>
      <c r="K11" s="186" t="s">
        <v>38</v>
      </c>
      <c r="L11" s="186" t="s">
        <v>456</v>
      </c>
      <c r="M11" s="187" t="s">
        <v>457</v>
      </c>
      <c r="N11" s="186" t="s">
        <v>461</v>
      </c>
      <c r="O11" s="186" t="s">
        <v>38</v>
      </c>
      <c r="P11" s="186" t="s">
        <v>456</v>
      </c>
      <c r="Q11" s="187" t="s">
        <v>457</v>
      </c>
      <c r="R11" s="186" t="s">
        <v>461</v>
      </c>
      <c r="S11" s="186" t="s">
        <v>38</v>
      </c>
      <c r="T11" s="186" t="s">
        <v>456</v>
      </c>
      <c r="U11" s="187" t="s">
        <v>457</v>
      </c>
      <c r="V11" s="186" t="s">
        <v>461</v>
      </c>
      <c r="W11" s="186" t="s">
        <v>38</v>
      </c>
      <c r="X11" s="186" t="s">
        <v>456</v>
      </c>
      <c r="Y11" s="186" t="s">
        <v>457</v>
      </c>
    </row>
    <row r="12" spans="1:25" x14ac:dyDescent="0.2">
      <c r="A12" s="183" t="s">
        <v>16</v>
      </c>
      <c r="B12" s="188">
        <v>0.71</v>
      </c>
      <c r="C12" s="189">
        <v>5751000</v>
      </c>
      <c r="D12" s="189">
        <v>2349000.0000000005</v>
      </c>
      <c r="E12" s="190">
        <v>8100000</v>
      </c>
      <c r="F12" s="191">
        <v>0.73</v>
      </c>
      <c r="G12" s="189">
        <v>7446000</v>
      </c>
      <c r="H12" s="189">
        <v>2754000</v>
      </c>
      <c r="I12" s="190">
        <v>10200000</v>
      </c>
      <c r="J12" s="192">
        <v>0.71</v>
      </c>
      <c r="K12" s="193">
        <v>6812334.2699999996</v>
      </c>
      <c r="L12" s="193">
        <v>2782502.7300000004</v>
      </c>
      <c r="M12" s="194">
        <v>9594837</v>
      </c>
      <c r="N12" s="191">
        <v>0.39</v>
      </c>
      <c r="O12" s="189">
        <v>1060163.9100000001</v>
      </c>
      <c r="P12" s="189">
        <v>1658205.0900000003</v>
      </c>
      <c r="Q12" s="190">
        <v>2718369.0000000005</v>
      </c>
      <c r="R12" s="191">
        <v>0.39</v>
      </c>
      <c r="S12" s="189">
        <v>1111855.68</v>
      </c>
      <c r="T12" s="189">
        <v>1739056.3199999996</v>
      </c>
      <c r="U12" s="190">
        <v>2850911.9999999995</v>
      </c>
      <c r="V12" s="197">
        <v>0.7</v>
      </c>
      <c r="W12" s="11">
        <v>5465901</v>
      </c>
      <c r="X12" s="11">
        <v>2342529.0000000009</v>
      </c>
      <c r="Y12" s="11">
        <v>7808430</v>
      </c>
    </row>
    <row r="13" spans="1:25" x14ac:dyDescent="0.2">
      <c r="A13" s="183" t="s">
        <v>17</v>
      </c>
      <c r="B13" s="188">
        <v>0.8</v>
      </c>
      <c r="C13" s="189">
        <v>6123200</v>
      </c>
      <c r="D13" s="189">
        <v>1530799.9999999998</v>
      </c>
      <c r="E13" s="190">
        <v>7654000</v>
      </c>
      <c r="F13" s="188">
        <v>0.80517219629115677</v>
      </c>
      <c r="G13" s="189">
        <v>6382600</v>
      </c>
      <c r="H13" s="189">
        <v>1544400</v>
      </c>
      <c r="I13" s="190">
        <v>7927000</v>
      </c>
      <c r="J13" s="192">
        <v>0.81</v>
      </c>
      <c r="K13" s="193">
        <v>6642000</v>
      </c>
      <c r="L13" s="193">
        <v>1557999.9999999991</v>
      </c>
      <c r="M13" s="194">
        <v>8199999.9999999991</v>
      </c>
      <c r="N13" s="191">
        <v>0.39</v>
      </c>
      <c r="O13" s="189">
        <v>780000</v>
      </c>
      <c r="P13" s="189">
        <v>1220000</v>
      </c>
      <c r="Q13" s="190">
        <v>2000000</v>
      </c>
      <c r="R13" s="191">
        <v>0.59</v>
      </c>
      <c r="S13" s="189">
        <v>1493606.8299999998</v>
      </c>
      <c r="T13" s="189">
        <v>1037930.1700000002</v>
      </c>
      <c r="U13" s="190">
        <v>2531537</v>
      </c>
      <c r="V13" s="197">
        <v>0.77</v>
      </c>
      <c r="W13" s="11">
        <v>5315778.93</v>
      </c>
      <c r="X13" s="11">
        <v>1587830.0699999994</v>
      </c>
      <c r="Y13" s="11">
        <v>6903609</v>
      </c>
    </row>
    <row r="14" spans="1:25" x14ac:dyDescent="0.2">
      <c r="A14" s="183" t="s">
        <v>19</v>
      </c>
      <c r="B14" s="188">
        <v>0.68</v>
      </c>
      <c r="C14" s="189">
        <v>2160932.56</v>
      </c>
      <c r="D14" s="189">
        <v>1016909.4399999998</v>
      </c>
      <c r="E14" s="190">
        <v>3177842</v>
      </c>
      <c r="F14" s="191">
        <v>0.6</v>
      </c>
      <c r="G14" s="189">
        <v>1971734.4</v>
      </c>
      <c r="H14" s="189">
        <v>1314489.6000000001</v>
      </c>
      <c r="I14" s="190">
        <v>3286224</v>
      </c>
      <c r="J14" s="192">
        <v>0.65</v>
      </c>
      <c r="K14" s="193">
        <v>2373550.4</v>
      </c>
      <c r="L14" s="193">
        <v>1278065.5999999996</v>
      </c>
      <c r="M14" s="194">
        <v>3651615.9999999995</v>
      </c>
      <c r="N14" s="191">
        <v>0.49</v>
      </c>
      <c r="O14" s="189">
        <v>424964.26</v>
      </c>
      <c r="P14" s="189">
        <v>442309.74</v>
      </c>
      <c r="Q14" s="190">
        <v>867274</v>
      </c>
      <c r="R14" s="191">
        <v>0.51</v>
      </c>
      <c r="S14" s="189">
        <v>531988.65</v>
      </c>
      <c r="T14" s="189">
        <v>511126.35</v>
      </c>
      <c r="U14" s="190">
        <v>1043115</v>
      </c>
      <c r="V14" s="197">
        <v>0.57999999999999996</v>
      </c>
      <c r="W14" s="11">
        <v>1898751.22</v>
      </c>
      <c r="X14" s="11">
        <v>1374957.78</v>
      </c>
      <c r="Y14" s="11">
        <v>3273709</v>
      </c>
    </row>
    <row r="15" spans="1:25" x14ac:dyDescent="0.2">
      <c r="A15" s="183" t="s">
        <v>18</v>
      </c>
      <c r="B15" s="188">
        <v>0.43</v>
      </c>
      <c r="C15" s="189">
        <v>1449474.96</v>
      </c>
      <c r="D15" s="189">
        <v>1921397.0400000003</v>
      </c>
      <c r="E15" s="190">
        <v>3370872</v>
      </c>
      <c r="F15" s="191">
        <v>0.43</v>
      </c>
      <c r="G15" s="189">
        <v>1527163.92</v>
      </c>
      <c r="H15" s="189">
        <v>2024380.08</v>
      </c>
      <c r="I15" s="190">
        <v>3551544</v>
      </c>
      <c r="J15" s="192">
        <v>0.37</v>
      </c>
      <c r="K15" s="193">
        <v>1221000</v>
      </c>
      <c r="L15" s="193">
        <v>2079000</v>
      </c>
      <c r="M15" s="194">
        <v>3300000</v>
      </c>
      <c r="N15" s="191">
        <v>0.25</v>
      </c>
      <c r="O15" s="189">
        <v>228250</v>
      </c>
      <c r="P15" s="189">
        <v>684750</v>
      </c>
      <c r="Q15" s="190">
        <v>913000</v>
      </c>
      <c r="R15" s="191">
        <v>0.26</v>
      </c>
      <c r="S15" s="189">
        <v>390270.4</v>
      </c>
      <c r="T15" s="189">
        <v>1110769.6000000001</v>
      </c>
      <c r="U15" s="190">
        <v>1501040</v>
      </c>
      <c r="V15" s="197">
        <v>0.36</v>
      </c>
      <c r="W15" s="11">
        <v>1083424.32</v>
      </c>
      <c r="X15" s="11">
        <v>1926087.6800000004</v>
      </c>
      <c r="Y15" s="11">
        <v>3009512</v>
      </c>
    </row>
    <row r="16" spans="1:25" x14ac:dyDescent="0.2">
      <c r="A16" s="195" t="s">
        <v>20</v>
      </c>
      <c r="B16" s="188">
        <v>0.09</v>
      </c>
      <c r="C16" s="189">
        <v>257145.3</v>
      </c>
      <c r="D16" s="189">
        <v>2600024.7000000002</v>
      </c>
      <c r="E16" s="190">
        <v>2857170</v>
      </c>
      <c r="F16" s="191">
        <v>0.10511159128530163</v>
      </c>
      <c r="G16" s="189">
        <v>302572.65000000002</v>
      </c>
      <c r="H16" s="189">
        <v>2576012.35</v>
      </c>
      <c r="I16" s="190">
        <v>2878585</v>
      </c>
      <c r="J16" s="192">
        <v>0.12</v>
      </c>
      <c r="K16" s="193">
        <v>348000</v>
      </c>
      <c r="L16" s="193">
        <v>2552000</v>
      </c>
      <c r="M16" s="194">
        <v>2900000</v>
      </c>
      <c r="N16" s="191">
        <v>0.05</v>
      </c>
      <c r="O16" s="189">
        <v>39650</v>
      </c>
      <c r="P16" s="189">
        <v>753350</v>
      </c>
      <c r="Q16" s="190">
        <v>793000</v>
      </c>
      <c r="R16" s="191">
        <v>5.3999999999999999E-2</v>
      </c>
      <c r="S16" s="189">
        <v>55890</v>
      </c>
      <c r="T16" s="189">
        <v>979110</v>
      </c>
      <c r="U16" s="190">
        <v>1035000</v>
      </c>
      <c r="V16" s="197">
        <v>0.1</v>
      </c>
      <c r="W16" s="11">
        <v>210067.5</v>
      </c>
      <c r="X16" s="11">
        <v>1890607.5</v>
      </c>
      <c r="Y16" s="11">
        <v>2100675</v>
      </c>
    </row>
    <row r="17" spans="1:25" x14ac:dyDescent="0.2">
      <c r="A17" s="183" t="s">
        <v>11</v>
      </c>
      <c r="B17" s="188">
        <v>0.35</v>
      </c>
      <c r="C17" s="189">
        <v>320910.8</v>
      </c>
      <c r="D17" s="189">
        <v>595977.20000000007</v>
      </c>
      <c r="E17" s="190">
        <v>916888</v>
      </c>
      <c r="F17" s="188">
        <v>0.38</v>
      </c>
      <c r="G17" s="189">
        <v>386777.68</v>
      </c>
      <c r="H17" s="189">
        <v>631058.32000000007</v>
      </c>
      <c r="I17" s="190">
        <v>1017836</v>
      </c>
      <c r="J17" s="192">
        <v>0.35</v>
      </c>
      <c r="K17" s="193">
        <v>385000</v>
      </c>
      <c r="L17" s="193">
        <v>715000</v>
      </c>
      <c r="M17" s="194">
        <v>1100000</v>
      </c>
      <c r="N17" s="191">
        <v>0.13</v>
      </c>
      <c r="O17" s="189">
        <v>74880</v>
      </c>
      <c r="P17" s="189">
        <v>501120</v>
      </c>
      <c r="Q17" s="190">
        <v>576000</v>
      </c>
      <c r="R17" s="191">
        <v>0.16500000000000001</v>
      </c>
      <c r="S17" s="189">
        <v>116820</v>
      </c>
      <c r="T17" s="189">
        <v>591180</v>
      </c>
      <c r="U17" s="190">
        <v>708000</v>
      </c>
      <c r="V17" s="197">
        <v>0.28000000000000003</v>
      </c>
      <c r="W17" s="11">
        <v>308000.00000000006</v>
      </c>
      <c r="X17" s="11">
        <v>792000</v>
      </c>
      <c r="Y17" s="11">
        <v>1100000</v>
      </c>
    </row>
    <row r="18" spans="1:25" x14ac:dyDescent="0.2">
      <c r="A18" s="183" t="s">
        <v>21</v>
      </c>
      <c r="B18" s="188">
        <v>0.67</v>
      </c>
      <c r="C18" s="189">
        <v>788581.29</v>
      </c>
      <c r="D18" s="189">
        <v>388405.70999999996</v>
      </c>
      <c r="E18" s="190">
        <v>1176987</v>
      </c>
      <c r="F18" s="191">
        <v>0.7</v>
      </c>
      <c r="G18" s="189">
        <v>845739.29999999993</v>
      </c>
      <c r="H18" s="189">
        <v>362459.70000000007</v>
      </c>
      <c r="I18" s="190">
        <v>1208199</v>
      </c>
      <c r="J18" s="192">
        <v>0.7</v>
      </c>
      <c r="K18" s="193">
        <v>876400</v>
      </c>
      <c r="L18" s="193">
        <v>375600</v>
      </c>
      <c r="M18" s="194">
        <v>1252000</v>
      </c>
      <c r="N18" s="191">
        <v>0.51</v>
      </c>
      <c r="O18" s="189">
        <v>160650</v>
      </c>
      <c r="P18" s="189">
        <v>154350</v>
      </c>
      <c r="Q18" s="190">
        <v>315000</v>
      </c>
      <c r="R18" s="191">
        <v>0.54</v>
      </c>
      <c r="S18" s="189">
        <v>247686.66</v>
      </c>
      <c r="T18" s="189">
        <v>210992.34</v>
      </c>
      <c r="U18" s="190">
        <v>458679</v>
      </c>
      <c r="V18" s="197">
        <v>0.65</v>
      </c>
      <c r="W18" s="11">
        <v>696196.8</v>
      </c>
      <c r="X18" s="11">
        <v>374875.19999999995</v>
      </c>
      <c r="Y18" s="11">
        <v>1071072</v>
      </c>
    </row>
    <row r="19" spans="1:25" x14ac:dyDescent="0.2">
      <c r="A19" s="183" t="s">
        <v>23</v>
      </c>
      <c r="B19" s="188">
        <v>0.66</v>
      </c>
      <c r="C19" s="189">
        <v>619265.46000000008</v>
      </c>
      <c r="D19" s="189">
        <v>319015.54000000004</v>
      </c>
      <c r="E19" s="190">
        <v>938281.00000000012</v>
      </c>
      <c r="F19" s="191">
        <v>0.61290470103231054</v>
      </c>
      <c r="G19" s="189">
        <v>603161.35499999998</v>
      </c>
      <c r="H19" s="189">
        <v>380941.64500000014</v>
      </c>
      <c r="I19" s="190">
        <v>984103.00000000012</v>
      </c>
      <c r="J19" s="192">
        <v>0.56999999999999995</v>
      </c>
      <c r="K19" s="193">
        <v>587057.25</v>
      </c>
      <c r="L19" s="193">
        <v>442867.75000000012</v>
      </c>
      <c r="M19" s="194">
        <v>1029925.0000000001</v>
      </c>
      <c r="N19" s="191">
        <v>0.51</v>
      </c>
      <c r="O19" s="189">
        <v>117889.56</v>
      </c>
      <c r="P19" s="189">
        <v>113266.44</v>
      </c>
      <c r="Q19" s="190">
        <v>231156</v>
      </c>
      <c r="R19" s="191">
        <v>0.41</v>
      </c>
      <c r="S19" s="189">
        <v>155860.26999999999</v>
      </c>
      <c r="T19" s="189">
        <v>224286.73</v>
      </c>
      <c r="U19" s="190">
        <v>380147</v>
      </c>
      <c r="V19" s="197">
        <v>0.61</v>
      </c>
      <c r="W19" s="11">
        <v>618247.19999999995</v>
      </c>
      <c r="X19" s="11">
        <v>395272.80000000005</v>
      </c>
      <c r="Y19" s="11">
        <v>1013520</v>
      </c>
    </row>
    <row r="20" spans="1:25" x14ac:dyDescent="0.2">
      <c r="A20" s="183" t="s">
        <v>22</v>
      </c>
      <c r="B20" s="188">
        <v>0.18</v>
      </c>
      <c r="C20" s="189">
        <v>211268.16</v>
      </c>
      <c r="D20" s="189">
        <v>962443.84000000008</v>
      </c>
      <c r="E20" s="190">
        <v>1173712</v>
      </c>
      <c r="F20" s="188">
        <v>0.16</v>
      </c>
      <c r="G20" s="189">
        <v>201890.72</v>
      </c>
      <c r="H20" s="189">
        <v>1059926.28</v>
      </c>
      <c r="I20" s="190">
        <v>1261817</v>
      </c>
      <c r="J20" s="192">
        <v>0.18</v>
      </c>
      <c r="K20" s="193">
        <v>200236.13999999998</v>
      </c>
      <c r="L20" s="193">
        <v>912186.86</v>
      </c>
      <c r="M20" s="194">
        <v>1112423</v>
      </c>
      <c r="N20" s="191">
        <v>0.17</v>
      </c>
      <c r="O20" s="189">
        <v>74596.680000000008</v>
      </c>
      <c r="P20" s="189">
        <v>364207.32</v>
      </c>
      <c r="Q20" s="190">
        <v>438804</v>
      </c>
      <c r="R20" s="191">
        <v>0.1</v>
      </c>
      <c r="S20" s="189">
        <v>61579.5</v>
      </c>
      <c r="T20" s="189">
        <v>554215.5</v>
      </c>
      <c r="U20" s="190">
        <v>615795</v>
      </c>
      <c r="V20" s="197">
        <v>0.18</v>
      </c>
      <c r="W20" s="11">
        <v>180964.25999999998</v>
      </c>
      <c r="X20" s="11">
        <v>824392.73999999987</v>
      </c>
      <c r="Y20" s="11">
        <v>1005357</v>
      </c>
    </row>
    <row r="21" spans="1:25" x14ac:dyDescent="0.2">
      <c r="A21" s="183" t="s">
        <v>26</v>
      </c>
      <c r="B21" s="188">
        <v>0.47</v>
      </c>
      <c r="C21" s="189">
        <v>408804.58999999997</v>
      </c>
      <c r="D21" s="189">
        <v>460992.41000000003</v>
      </c>
      <c r="E21" s="190">
        <v>869797</v>
      </c>
      <c r="F21" s="191">
        <v>0.52</v>
      </c>
      <c r="G21" s="189">
        <v>149274.84</v>
      </c>
      <c r="H21" s="189">
        <v>137792.16</v>
      </c>
      <c r="I21" s="190">
        <v>287067</v>
      </c>
      <c r="J21" s="192">
        <v>0.55000000000000004</v>
      </c>
      <c r="K21" s="193">
        <v>163030.45000000001</v>
      </c>
      <c r="L21" s="193">
        <v>133388.54999999999</v>
      </c>
      <c r="M21" s="194">
        <v>296419</v>
      </c>
      <c r="N21" s="191">
        <v>0.29799999999999999</v>
      </c>
      <c r="O21" s="189">
        <v>62242.962</v>
      </c>
      <c r="P21" s="189">
        <v>146626.038</v>
      </c>
      <c r="Q21" s="190">
        <v>208869</v>
      </c>
      <c r="R21" s="191">
        <v>0.08</v>
      </c>
      <c r="S21" s="189">
        <v>31310.32</v>
      </c>
      <c r="T21" s="189">
        <v>360068.68</v>
      </c>
      <c r="U21" s="190">
        <v>391379</v>
      </c>
      <c r="V21" s="197">
        <v>0.24</v>
      </c>
      <c r="W21" s="11">
        <v>216382.31999999998</v>
      </c>
      <c r="X21" s="11">
        <v>685210.67999999993</v>
      </c>
      <c r="Y21" s="11">
        <v>901593</v>
      </c>
    </row>
    <row r="22" spans="1:25" x14ac:dyDescent="0.2">
      <c r="A22" s="195" t="s">
        <v>24</v>
      </c>
      <c r="B22" s="188">
        <v>0.09</v>
      </c>
      <c r="C22" s="189">
        <v>65122.47</v>
      </c>
      <c r="D22" s="189">
        <v>658460.53</v>
      </c>
      <c r="E22" s="190">
        <v>723583</v>
      </c>
      <c r="F22" s="191">
        <v>0.15</v>
      </c>
      <c r="G22" s="189">
        <v>102087.45</v>
      </c>
      <c r="H22" s="189">
        <v>578495.55000000005</v>
      </c>
      <c r="I22" s="190">
        <v>680583</v>
      </c>
      <c r="J22" s="192">
        <v>0.2</v>
      </c>
      <c r="K22" s="193">
        <v>134200</v>
      </c>
      <c r="L22" s="193">
        <v>536800</v>
      </c>
      <c r="M22" s="194">
        <v>671000</v>
      </c>
      <c r="N22" s="191">
        <v>0.06</v>
      </c>
      <c r="O22" s="189">
        <v>16591.8</v>
      </c>
      <c r="P22" s="189">
        <v>259938.2</v>
      </c>
      <c r="Q22" s="190">
        <v>276530</v>
      </c>
      <c r="R22" s="191">
        <v>0.06</v>
      </c>
      <c r="S22" s="189">
        <v>21089.279999999999</v>
      </c>
      <c r="T22" s="189">
        <v>330398.71999999997</v>
      </c>
      <c r="U22" s="190">
        <v>351488</v>
      </c>
      <c r="V22" s="197">
        <v>0.1</v>
      </c>
      <c r="W22" s="11">
        <v>61054.400000000001</v>
      </c>
      <c r="X22" s="11">
        <v>549489.6</v>
      </c>
      <c r="Y22" s="11">
        <v>610544</v>
      </c>
    </row>
    <row r="23" spans="1:25" x14ac:dyDescent="0.2">
      <c r="A23" s="183" t="s">
        <v>27</v>
      </c>
      <c r="B23" s="188">
        <v>0.16</v>
      </c>
      <c r="C23" s="189">
        <v>72000</v>
      </c>
      <c r="D23" s="189">
        <v>378000</v>
      </c>
      <c r="E23" s="190">
        <v>450000</v>
      </c>
      <c r="F23" s="191">
        <v>0.14915564598168871</v>
      </c>
      <c r="G23" s="189">
        <v>73310</v>
      </c>
      <c r="H23" s="189">
        <v>418190</v>
      </c>
      <c r="I23" s="190">
        <v>491500</v>
      </c>
      <c r="J23" s="192">
        <v>0.14000000000000001</v>
      </c>
      <c r="K23" s="193">
        <v>74620</v>
      </c>
      <c r="L23" s="193">
        <v>458380</v>
      </c>
      <c r="M23" s="194">
        <v>533000</v>
      </c>
      <c r="N23" s="191">
        <v>0.1</v>
      </c>
      <c r="O23" s="189">
        <v>21600</v>
      </c>
      <c r="P23" s="189">
        <v>194400</v>
      </c>
      <c r="Q23" s="190">
        <v>216000</v>
      </c>
      <c r="R23" s="191">
        <v>0.08</v>
      </c>
      <c r="S23" s="189">
        <v>17914.48</v>
      </c>
      <c r="T23" s="189">
        <v>206016.52</v>
      </c>
      <c r="U23" s="190">
        <v>223931</v>
      </c>
      <c r="V23" s="197">
        <v>0.09</v>
      </c>
      <c r="W23" s="11">
        <v>51390</v>
      </c>
      <c r="X23" s="11">
        <v>519610</v>
      </c>
      <c r="Y23" s="11">
        <v>571000</v>
      </c>
    </row>
    <row r="24" spans="1:25" x14ac:dyDescent="0.2">
      <c r="A24" s="195" t="s">
        <v>25</v>
      </c>
      <c r="B24" s="188">
        <v>0.41623153250156769</v>
      </c>
      <c r="C24" s="189">
        <v>236965.19</v>
      </c>
      <c r="D24" s="189">
        <v>332345.81</v>
      </c>
      <c r="E24" s="190">
        <v>569311</v>
      </c>
      <c r="F24" s="191">
        <v>0.6</v>
      </c>
      <c r="G24" s="189">
        <v>335985</v>
      </c>
      <c r="H24" s="189">
        <v>223990</v>
      </c>
      <c r="I24" s="190">
        <v>559975</v>
      </c>
      <c r="J24" s="192">
        <v>0.79</v>
      </c>
      <c r="K24" s="193">
        <v>435004.81</v>
      </c>
      <c r="L24" s="193">
        <v>115634.19</v>
      </c>
      <c r="M24" s="194">
        <v>550639</v>
      </c>
      <c r="N24" s="188">
        <v>0.15</v>
      </c>
      <c r="O24" s="189">
        <v>22921.200000000001</v>
      </c>
      <c r="P24" s="189">
        <v>129886.8</v>
      </c>
      <c r="Q24" s="190">
        <v>152808</v>
      </c>
      <c r="R24" s="191">
        <v>0.41</v>
      </c>
      <c r="S24" s="189">
        <v>102256.45999999999</v>
      </c>
      <c r="T24" s="189">
        <v>147149.54</v>
      </c>
      <c r="U24" s="190">
        <v>249406</v>
      </c>
      <c r="V24" s="197">
        <v>0.7</v>
      </c>
      <c r="W24" s="11">
        <v>385012.6</v>
      </c>
      <c r="X24" s="11">
        <v>165005.40000000002</v>
      </c>
      <c r="Y24" s="11">
        <v>550018</v>
      </c>
    </row>
    <row r="25" spans="1:25" x14ac:dyDescent="0.2">
      <c r="A25" s="183" t="s">
        <v>31</v>
      </c>
      <c r="B25" s="188">
        <v>0.02</v>
      </c>
      <c r="C25" s="189">
        <v>7903.16</v>
      </c>
      <c r="D25" s="189">
        <v>387254.84</v>
      </c>
      <c r="E25" s="190">
        <v>395158</v>
      </c>
      <c r="F25" s="188">
        <v>0.02</v>
      </c>
      <c r="G25" s="189">
        <v>9197.52</v>
      </c>
      <c r="H25" s="189">
        <v>450678.48</v>
      </c>
      <c r="I25" s="190">
        <v>459876</v>
      </c>
      <c r="J25" s="192">
        <v>0.02</v>
      </c>
      <c r="K25" s="193">
        <v>10491.880000000001</v>
      </c>
      <c r="L25" s="193">
        <v>514102.12</v>
      </c>
      <c r="M25" s="194">
        <v>524594</v>
      </c>
      <c r="N25" s="191">
        <v>0.02</v>
      </c>
      <c r="O25" s="189">
        <v>4394.24</v>
      </c>
      <c r="P25" s="189">
        <v>215317.75999999998</v>
      </c>
      <c r="Q25" s="190">
        <v>219711.99999999997</v>
      </c>
      <c r="R25" s="191">
        <v>0.01</v>
      </c>
      <c r="S25" s="189">
        <v>2482.88</v>
      </c>
      <c r="T25" s="189">
        <v>245805.12</v>
      </c>
      <c r="U25" s="190">
        <v>248288</v>
      </c>
      <c r="V25" s="197">
        <v>0.01</v>
      </c>
      <c r="W25" s="11">
        <v>4979.03</v>
      </c>
      <c r="X25" s="11">
        <v>492923.96999999991</v>
      </c>
      <c r="Y25" s="11">
        <v>497903</v>
      </c>
    </row>
    <row r="26" spans="1:25" x14ac:dyDescent="0.2">
      <c r="A26" s="183" t="s">
        <v>28</v>
      </c>
      <c r="B26" s="188">
        <v>0.25</v>
      </c>
      <c r="C26" s="189">
        <v>106250</v>
      </c>
      <c r="D26" s="189">
        <v>318750</v>
      </c>
      <c r="E26" s="190">
        <v>425000</v>
      </c>
      <c r="F26" s="191">
        <v>0.25</v>
      </c>
      <c r="G26" s="189">
        <v>106250</v>
      </c>
      <c r="H26" s="189">
        <v>318750</v>
      </c>
      <c r="I26" s="190">
        <v>425000</v>
      </c>
      <c r="J26" s="192">
        <v>0.25</v>
      </c>
      <c r="K26" s="193">
        <v>106250</v>
      </c>
      <c r="L26" s="193">
        <v>318750</v>
      </c>
      <c r="M26" s="194">
        <v>425000</v>
      </c>
      <c r="N26" s="191">
        <v>0.2</v>
      </c>
      <c r="O26" s="189">
        <v>42300</v>
      </c>
      <c r="P26" s="189">
        <v>169200</v>
      </c>
      <c r="Q26" s="190">
        <v>211500</v>
      </c>
      <c r="R26" s="191">
        <v>0.1</v>
      </c>
      <c r="S26" s="189">
        <v>28800</v>
      </c>
      <c r="T26" s="189">
        <v>259200</v>
      </c>
      <c r="U26" s="190">
        <v>288000</v>
      </c>
      <c r="V26" s="197">
        <v>0.2</v>
      </c>
      <c r="W26" s="11">
        <v>89000</v>
      </c>
      <c r="X26" s="11">
        <v>356000</v>
      </c>
      <c r="Y26" s="11">
        <v>445000</v>
      </c>
    </row>
    <row r="27" spans="1:25" x14ac:dyDescent="0.2">
      <c r="A27" s="195" t="s">
        <v>458</v>
      </c>
      <c r="B27" s="188">
        <v>0.1</v>
      </c>
      <c r="C27" s="189">
        <v>27024.2</v>
      </c>
      <c r="D27" s="189">
        <v>243217.80000000002</v>
      </c>
      <c r="E27" s="190">
        <v>270242</v>
      </c>
      <c r="F27" s="188">
        <v>0.13</v>
      </c>
      <c r="G27" s="189">
        <v>43256.200000000004</v>
      </c>
      <c r="H27" s="189">
        <v>289483.8</v>
      </c>
      <c r="I27" s="190">
        <v>332740</v>
      </c>
      <c r="J27" s="192">
        <v>0.12</v>
      </c>
      <c r="K27" s="193">
        <v>37063.56</v>
      </c>
      <c r="L27" s="193">
        <v>271799.44</v>
      </c>
      <c r="M27" s="194">
        <v>308863</v>
      </c>
      <c r="N27" s="191">
        <v>6.9000000000000006E-2</v>
      </c>
      <c r="O27" s="189">
        <v>8303.4600000000009</v>
      </c>
      <c r="P27" s="189">
        <v>112036.54</v>
      </c>
      <c r="Q27" s="190">
        <v>120340</v>
      </c>
      <c r="R27" s="191">
        <v>6.9000000000000006E-2</v>
      </c>
      <c r="S27" s="189">
        <v>8303.4600000000009</v>
      </c>
      <c r="T27" s="189">
        <v>112036.54</v>
      </c>
      <c r="U27" s="202">
        <v>120340</v>
      </c>
      <c r="V27" s="197">
        <v>0.11</v>
      </c>
      <c r="W27" s="11">
        <v>36013.67</v>
      </c>
      <c r="X27" s="11">
        <v>291383.33</v>
      </c>
      <c r="Y27" s="11">
        <v>327397</v>
      </c>
    </row>
    <row r="28" spans="1:25" x14ac:dyDescent="0.2">
      <c r="A28" s="195" t="s">
        <v>200</v>
      </c>
      <c r="B28" s="188">
        <v>0.24</v>
      </c>
      <c r="C28" s="189">
        <v>60195.839999999997</v>
      </c>
      <c r="D28" s="189">
        <v>190620.16</v>
      </c>
      <c r="E28" s="190">
        <v>250816</v>
      </c>
      <c r="F28" s="191">
        <v>0.24</v>
      </c>
      <c r="G28" s="189">
        <v>61987.68</v>
      </c>
      <c r="H28" s="189">
        <v>196294.32</v>
      </c>
      <c r="I28" s="190">
        <v>258282</v>
      </c>
      <c r="J28" s="192">
        <v>0.26</v>
      </c>
      <c r="K28" s="193">
        <v>107387.54000000001</v>
      </c>
      <c r="L28" s="193">
        <v>305641.45999999996</v>
      </c>
      <c r="M28" s="194">
        <v>413029</v>
      </c>
      <c r="N28" s="191">
        <v>0.02</v>
      </c>
      <c r="O28" s="189">
        <v>4569.7</v>
      </c>
      <c r="P28" s="189">
        <v>223915.3</v>
      </c>
      <c r="Q28" s="190">
        <v>228485</v>
      </c>
      <c r="R28" s="191">
        <v>0.02</v>
      </c>
      <c r="S28" s="189">
        <v>4569.7</v>
      </c>
      <c r="T28" s="189">
        <v>223915.3</v>
      </c>
      <c r="U28" s="202">
        <v>228485</v>
      </c>
      <c r="V28" s="197">
        <v>0.05</v>
      </c>
      <c r="W28" s="11">
        <v>16079.7</v>
      </c>
      <c r="X28" s="11">
        <v>305514.3</v>
      </c>
      <c r="Y28" s="11">
        <v>321594</v>
      </c>
    </row>
    <row r="29" spans="1:25" x14ac:dyDescent="0.2">
      <c r="A29" s="195" t="s">
        <v>199</v>
      </c>
      <c r="B29" s="188">
        <v>0.18</v>
      </c>
      <c r="C29" s="189">
        <v>45687.06</v>
      </c>
      <c r="D29" s="189">
        <v>208129.94</v>
      </c>
      <c r="E29" s="190">
        <v>253817</v>
      </c>
      <c r="F29" s="191">
        <v>0.21</v>
      </c>
      <c r="G29" s="189">
        <v>53970</v>
      </c>
      <c r="H29" s="189">
        <v>203030</v>
      </c>
      <c r="I29" s="190">
        <v>257000</v>
      </c>
      <c r="J29" s="192">
        <v>0.22</v>
      </c>
      <c r="K29" s="193">
        <v>65474.2</v>
      </c>
      <c r="L29" s="193">
        <v>232135.8</v>
      </c>
      <c r="M29" s="194">
        <v>297610</v>
      </c>
      <c r="N29" s="188">
        <v>0.12</v>
      </c>
      <c r="O29" s="189">
        <v>20395.8</v>
      </c>
      <c r="P29" s="189">
        <v>149569.20000000001</v>
      </c>
      <c r="Q29" s="190">
        <v>169965</v>
      </c>
      <c r="R29" s="191">
        <v>0.12</v>
      </c>
      <c r="S29" s="189">
        <v>20395.8</v>
      </c>
      <c r="T29" s="189">
        <v>149569.20000000001</v>
      </c>
      <c r="U29" s="202">
        <v>169965</v>
      </c>
      <c r="V29" s="197">
        <v>0.28499999999999998</v>
      </c>
      <c r="W29" s="11">
        <v>89294.204999999987</v>
      </c>
      <c r="X29" s="11">
        <v>224018.79500000001</v>
      </c>
      <c r="Y29" s="11">
        <v>313313</v>
      </c>
    </row>
    <row r="30" spans="1:25" x14ac:dyDescent="0.2">
      <c r="A30" s="183" t="s">
        <v>30</v>
      </c>
      <c r="B30" s="188">
        <v>0.185</v>
      </c>
      <c r="C30" s="189">
        <v>65928.264999999999</v>
      </c>
      <c r="D30" s="189">
        <v>290440.73499999999</v>
      </c>
      <c r="E30" s="190">
        <v>356369</v>
      </c>
      <c r="F30" s="188">
        <v>0.18</v>
      </c>
      <c r="G30" s="189">
        <v>54041.4</v>
      </c>
      <c r="H30" s="189">
        <v>246188.6</v>
      </c>
      <c r="I30" s="190">
        <v>300230</v>
      </c>
      <c r="J30" s="192">
        <v>0.25</v>
      </c>
      <c r="K30" s="193">
        <v>70920.25</v>
      </c>
      <c r="L30" s="193">
        <v>212760.75</v>
      </c>
      <c r="M30" s="194">
        <v>283681</v>
      </c>
      <c r="N30" s="191">
        <v>0.08</v>
      </c>
      <c r="O30" s="189">
        <v>12516.56</v>
      </c>
      <c r="P30" s="189">
        <v>143940.44</v>
      </c>
      <c r="Q30" s="190">
        <v>156457</v>
      </c>
      <c r="R30" s="191">
        <v>0.122</v>
      </c>
      <c r="S30" s="189">
        <v>17622.534</v>
      </c>
      <c r="T30" s="189">
        <v>126824.466</v>
      </c>
      <c r="U30" s="190">
        <v>144447</v>
      </c>
      <c r="V30" s="197">
        <v>0.1923</v>
      </c>
      <c r="W30" s="11">
        <v>56536.2</v>
      </c>
      <c r="X30" s="11">
        <v>237463.8</v>
      </c>
      <c r="Y30" s="11">
        <v>294000</v>
      </c>
    </row>
    <row r="31" spans="1:25" x14ac:dyDescent="0.2">
      <c r="A31" s="183" t="s">
        <v>32</v>
      </c>
      <c r="B31" s="188">
        <v>0.33</v>
      </c>
      <c r="C31" s="189">
        <v>101977.26000000001</v>
      </c>
      <c r="D31" s="189">
        <v>207044.74</v>
      </c>
      <c r="E31" s="190">
        <v>309022</v>
      </c>
      <c r="F31" s="191">
        <v>0.35</v>
      </c>
      <c r="G31" s="189">
        <v>116383.74999999999</v>
      </c>
      <c r="H31" s="189">
        <v>216141.25</v>
      </c>
      <c r="I31" s="190">
        <v>332525</v>
      </c>
      <c r="J31" s="192">
        <v>0.3</v>
      </c>
      <c r="K31" s="193">
        <v>106056.3</v>
      </c>
      <c r="L31" s="193">
        <v>247464.7</v>
      </c>
      <c r="M31" s="194">
        <v>353521</v>
      </c>
      <c r="N31" s="191">
        <v>0.14000000000000001</v>
      </c>
      <c r="O31" s="189">
        <v>27773.9</v>
      </c>
      <c r="P31" s="189">
        <v>170611.1</v>
      </c>
      <c r="Q31" s="190">
        <v>198385</v>
      </c>
      <c r="R31" s="191">
        <v>0.14000000000000001</v>
      </c>
      <c r="S31" s="189">
        <v>31352.020000000004</v>
      </c>
      <c r="T31" s="189">
        <v>192590.97999999998</v>
      </c>
      <c r="U31" s="190">
        <v>223943</v>
      </c>
      <c r="V31" s="197">
        <v>0.24</v>
      </c>
      <c r="W31" s="11">
        <v>68073.119999999995</v>
      </c>
      <c r="X31" s="11">
        <v>215564.88</v>
      </c>
      <c r="Y31" s="11">
        <v>283638</v>
      </c>
    </row>
    <row r="32" spans="1:25" x14ac:dyDescent="0.2">
      <c r="A32" s="183" t="s">
        <v>33</v>
      </c>
      <c r="B32" s="188">
        <v>0.19500000000000001</v>
      </c>
      <c r="C32" s="189">
        <v>23597.73</v>
      </c>
      <c r="D32" s="189">
        <v>97416.26999999999</v>
      </c>
      <c r="E32" s="190">
        <v>121014</v>
      </c>
      <c r="F32" s="191">
        <v>0.19</v>
      </c>
      <c r="G32" s="189">
        <v>35685.040000000001</v>
      </c>
      <c r="H32" s="189">
        <v>152130.96</v>
      </c>
      <c r="I32" s="190">
        <v>187816</v>
      </c>
      <c r="J32" s="192">
        <v>0.19</v>
      </c>
      <c r="K32" s="193">
        <v>42544.99</v>
      </c>
      <c r="L32" s="193">
        <v>181376.01</v>
      </c>
      <c r="M32" s="194">
        <v>223921</v>
      </c>
      <c r="N32" s="188">
        <v>0.05</v>
      </c>
      <c r="O32" s="189">
        <v>5893.1500000000005</v>
      </c>
      <c r="P32" s="189">
        <v>111969.85</v>
      </c>
      <c r="Q32" s="190">
        <v>117863</v>
      </c>
      <c r="R32" s="191">
        <v>0.06</v>
      </c>
      <c r="S32" s="189">
        <v>6051.9</v>
      </c>
      <c r="T32" s="189">
        <v>94813.1</v>
      </c>
      <c r="U32" s="190">
        <v>100865</v>
      </c>
      <c r="V32" s="197">
        <v>0.13</v>
      </c>
      <c r="W32" s="11">
        <v>35835.410000000003</v>
      </c>
      <c r="X32" s="11">
        <v>239821.59</v>
      </c>
      <c r="Y32" s="11">
        <v>275657</v>
      </c>
    </row>
    <row r="33" spans="1:25" x14ac:dyDescent="0.2">
      <c r="A33" s="195" t="s">
        <v>29</v>
      </c>
      <c r="B33" s="188">
        <v>0.109</v>
      </c>
      <c r="C33" s="189">
        <v>32434.584999999999</v>
      </c>
      <c r="D33" s="189">
        <v>265130.41499999998</v>
      </c>
      <c r="E33" s="190">
        <v>297565</v>
      </c>
      <c r="F33" s="191">
        <v>0.1</v>
      </c>
      <c r="G33" s="189">
        <v>42331.8</v>
      </c>
      <c r="H33" s="189">
        <v>380986.2</v>
      </c>
      <c r="I33" s="190">
        <v>423318</v>
      </c>
      <c r="J33" s="192">
        <v>0.09</v>
      </c>
      <c r="K33" s="193">
        <v>32268.51</v>
      </c>
      <c r="L33" s="193">
        <v>326270.49</v>
      </c>
      <c r="M33" s="194">
        <v>358539</v>
      </c>
      <c r="N33" s="191">
        <v>0.05</v>
      </c>
      <c r="O33" s="189">
        <v>4147.25</v>
      </c>
      <c r="P33" s="189">
        <v>78797.75</v>
      </c>
      <c r="Q33" s="190">
        <v>82945</v>
      </c>
      <c r="R33" s="191">
        <v>0.01</v>
      </c>
      <c r="S33" s="189">
        <v>2251.83</v>
      </c>
      <c r="T33" s="189">
        <v>222931.17</v>
      </c>
      <c r="U33" s="190">
        <v>225183</v>
      </c>
      <c r="V33" s="197">
        <v>0.08</v>
      </c>
      <c r="W33" s="11">
        <v>20461.68</v>
      </c>
      <c r="X33" s="11">
        <v>235309.32</v>
      </c>
      <c r="Y33" s="11">
        <v>255771</v>
      </c>
    </row>
    <row r="34" spans="1:25" x14ac:dyDescent="0.2">
      <c r="A34" s="183" t="s">
        <v>459</v>
      </c>
      <c r="B34" s="188">
        <v>0.05</v>
      </c>
      <c r="C34" s="189">
        <v>9146.65</v>
      </c>
      <c r="D34" s="189">
        <v>173786.34999999998</v>
      </c>
      <c r="E34" s="190">
        <v>182932.99999999997</v>
      </c>
      <c r="F34" s="200">
        <v>0.05</v>
      </c>
      <c r="G34" s="193">
        <v>9719.7000000000007</v>
      </c>
      <c r="H34" s="189">
        <v>184674.3</v>
      </c>
      <c r="I34" s="190">
        <v>194394</v>
      </c>
      <c r="J34" s="191">
        <v>0.05</v>
      </c>
      <c r="K34" s="193">
        <v>9719.7000000000007</v>
      </c>
      <c r="L34" s="189">
        <v>184674.3</v>
      </c>
      <c r="M34" s="194">
        <v>194394</v>
      </c>
      <c r="N34" s="191">
        <v>0.05</v>
      </c>
      <c r="O34" s="189">
        <v>5684.2000000000007</v>
      </c>
      <c r="P34" s="189">
        <v>107999.80000000002</v>
      </c>
      <c r="Q34" s="190">
        <v>113684.00000000001</v>
      </c>
      <c r="R34" s="191">
        <v>0.05</v>
      </c>
      <c r="S34" s="189">
        <v>5684.2000000000007</v>
      </c>
      <c r="T34" s="189">
        <v>107999.80000000002</v>
      </c>
      <c r="U34" s="202">
        <v>113684.00000000001</v>
      </c>
      <c r="V34" s="197">
        <v>0.09</v>
      </c>
      <c r="W34" s="11">
        <v>20013.12</v>
      </c>
      <c r="X34" s="11">
        <v>202354.88</v>
      </c>
      <c r="Y34" s="11">
        <v>222368</v>
      </c>
    </row>
    <row r="35" spans="1:25" x14ac:dyDescent="0.2">
      <c r="A35" s="195" t="s">
        <v>201</v>
      </c>
      <c r="B35" s="188">
        <v>2.5000000000000001E-2</v>
      </c>
      <c r="C35" s="189">
        <v>2950</v>
      </c>
      <c r="D35" s="189">
        <v>115050</v>
      </c>
      <c r="E35" s="190">
        <v>118000</v>
      </c>
      <c r="F35" s="188">
        <v>3.7959183673469385E-2</v>
      </c>
      <c r="G35" s="189">
        <v>4650</v>
      </c>
      <c r="H35" s="189">
        <v>117850</v>
      </c>
      <c r="I35" s="190">
        <v>122500</v>
      </c>
      <c r="J35" s="192">
        <v>0.05</v>
      </c>
      <c r="K35" s="193">
        <v>6350</v>
      </c>
      <c r="L35" s="193">
        <v>120650</v>
      </c>
      <c r="M35" s="194">
        <v>127000</v>
      </c>
      <c r="N35" s="191">
        <v>0.02</v>
      </c>
      <c r="O35" s="189">
        <v>1520</v>
      </c>
      <c r="P35" s="189">
        <v>74480</v>
      </c>
      <c r="Q35" s="190">
        <v>76000</v>
      </c>
      <c r="R35" s="191">
        <v>0.02</v>
      </c>
      <c r="S35" s="189">
        <v>1520</v>
      </c>
      <c r="T35" s="189">
        <v>74480</v>
      </c>
      <c r="U35" s="202">
        <v>76000</v>
      </c>
      <c r="V35" s="197">
        <v>0.05</v>
      </c>
      <c r="W35" s="11">
        <v>7778</v>
      </c>
      <c r="X35" s="11">
        <v>147782</v>
      </c>
      <c r="Y35" s="11">
        <v>155560</v>
      </c>
    </row>
    <row r="36" spans="1:25" x14ac:dyDescent="0.2">
      <c r="A36" s="195" t="s">
        <v>34</v>
      </c>
      <c r="B36" s="188">
        <v>0.42</v>
      </c>
      <c r="C36" s="189">
        <v>71373.539999999994</v>
      </c>
      <c r="D36" s="189">
        <v>98563.46</v>
      </c>
      <c r="E36" s="190">
        <v>169937</v>
      </c>
      <c r="F36" s="191">
        <v>0.34366870318135578</v>
      </c>
      <c r="G36" s="189">
        <v>59457.434999999998</v>
      </c>
      <c r="H36" s="189">
        <v>113550.565</v>
      </c>
      <c r="I36" s="190">
        <v>173008</v>
      </c>
      <c r="J36" s="192">
        <v>0.27</v>
      </c>
      <c r="K36" s="193">
        <v>47541.33</v>
      </c>
      <c r="L36" s="193">
        <v>128537.67</v>
      </c>
      <c r="M36" s="194">
        <v>176079</v>
      </c>
      <c r="N36" s="191">
        <v>0.12</v>
      </c>
      <c r="O36" s="189">
        <v>8733.84</v>
      </c>
      <c r="P36" s="189">
        <v>64048.160000000003</v>
      </c>
      <c r="Q36" s="190">
        <v>72782</v>
      </c>
      <c r="R36" s="191">
        <v>0.26</v>
      </c>
      <c r="S36" s="189">
        <v>22206.86</v>
      </c>
      <c r="T36" s="189">
        <v>63204.14</v>
      </c>
      <c r="U36" s="190">
        <v>85411</v>
      </c>
      <c r="V36" s="197">
        <v>0.27</v>
      </c>
      <c r="W36" s="11">
        <v>34869.96</v>
      </c>
      <c r="X36" s="11">
        <v>94278.039999999979</v>
      </c>
      <c r="Y36" s="11">
        <v>129148</v>
      </c>
    </row>
    <row r="37" spans="1:25" x14ac:dyDescent="0.2">
      <c r="A37" s="195" t="s">
        <v>35</v>
      </c>
      <c r="B37" s="188">
        <v>7.8200000000000006E-2</v>
      </c>
      <c r="C37" s="189">
        <v>8015.7346000000007</v>
      </c>
      <c r="D37" s="189">
        <v>94487.265399999989</v>
      </c>
      <c r="E37" s="190">
        <v>102503</v>
      </c>
      <c r="F37" s="191">
        <v>0.09</v>
      </c>
      <c r="G37" s="189">
        <v>9002.6099999999988</v>
      </c>
      <c r="H37" s="189">
        <v>91026.389999999985</v>
      </c>
      <c r="I37" s="190">
        <v>100028.99999999999</v>
      </c>
      <c r="J37" s="200">
        <v>7.0000000000000007E-2</v>
      </c>
      <c r="K37" s="193">
        <v>7711.27</v>
      </c>
      <c r="L37" s="193">
        <v>102449.73</v>
      </c>
      <c r="M37" s="194">
        <v>110161</v>
      </c>
      <c r="N37" s="188">
        <v>3.4000000000000002E-2</v>
      </c>
      <c r="O37" s="189">
        <v>1386.1460000000002</v>
      </c>
      <c r="P37" s="189">
        <v>39382.853999999999</v>
      </c>
      <c r="Q37" s="190">
        <v>40769</v>
      </c>
      <c r="R37" s="191">
        <v>4.8000000000000001E-2</v>
      </c>
      <c r="S37" s="189">
        <v>1890.336</v>
      </c>
      <c r="T37" s="189">
        <v>37491.663999999997</v>
      </c>
      <c r="U37" s="190">
        <v>39382</v>
      </c>
      <c r="V37" s="197">
        <v>7.4999999999999997E-2</v>
      </c>
      <c r="W37" s="11">
        <v>6525.5249999999996</v>
      </c>
      <c r="X37" s="11">
        <v>80481.475000000006</v>
      </c>
      <c r="Y37" s="11">
        <v>87007</v>
      </c>
    </row>
    <row r="38" spans="1:25" x14ac:dyDescent="0.2">
      <c r="A38" s="195" t="s">
        <v>37</v>
      </c>
      <c r="B38" s="188">
        <v>0.18</v>
      </c>
      <c r="C38" s="189">
        <v>13405.68</v>
      </c>
      <c r="D38" s="189">
        <v>61070.320000000007</v>
      </c>
      <c r="E38" s="190">
        <v>74476</v>
      </c>
      <c r="F38" s="191">
        <v>0.1748118571354732</v>
      </c>
      <c r="G38" s="189">
        <v>13528.34</v>
      </c>
      <c r="H38" s="189">
        <v>63859.66</v>
      </c>
      <c r="I38" s="190">
        <v>77388</v>
      </c>
      <c r="J38" s="192">
        <v>0.17</v>
      </c>
      <c r="K38" s="193">
        <v>13651.000000000002</v>
      </c>
      <c r="L38" s="193">
        <v>66649</v>
      </c>
      <c r="M38" s="194">
        <v>80300</v>
      </c>
      <c r="N38" s="191">
        <v>0.1</v>
      </c>
      <c r="O38" s="189">
        <v>3128.9</v>
      </c>
      <c r="P38" s="189">
        <v>28160.1</v>
      </c>
      <c r="Q38" s="190">
        <v>31289</v>
      </c>
      <c r="R38" s="191">
        <v>0.09</v>
      </c>
      <c r="S38" s="189">
        <v>4519.8899999999994</v>
      </c>
      <c r="T38" s="189">
        <v>45701.109999999993</v>
      </c>
      <c r="U38" s="190">
        <v>50220.999999999993</v>
      </c>
      <c r="V38" s="197">
        <v>0.16</v>
      </c>
      <c r="W38" s="11">
        <v>12351.84</v>
      </c>
      <c r="X38" s="11">
        <v>64847.16</v>
      </c>
      <c r="Y38" s="11">
        <v>77199</v>
      </c>
    </row>
    <row r="39" spans="1:25" x14ac:dyDescent="0.2">
      <c r="A39" s="195" t="s">
        <v>36</v>
      </c>
      <c r="B39" s="188">
        <v>0.1308</v>
      </c>
      <c r="C39" s="189">
        <v>15306.608399999999</v>
      </c>
      <c r="D39" s="189">
        <v>101716.3916</v>
      </c>
      <c r="E39" s="190">
        <v>117023</v>
      </c>
      <c r="F39" s="188">
        <v>0.15281053854436238</v>
      </c>
      <c r="G39" s="189">
        <v>16179.2742</v>
      </c>
      <c r="H39" s="189">
        <v>89698.7258</v>
      </c>
      <c r="I39" s="190">
        <v>105878</v>
      </c>
      <c r="J39" s="192">
        <v>0.18</v>
      </c>
      <c r="K39" s="193">
        <v>17051.939999999999</v>
      </c>
      <c r="L39" s="193">
        <v>77681.06</v>
      </c>
      <c r="M39" s="194">
        <v>94733</v>
      </c>
      <c r="N39" s="191">
        <v>0.09</v>
      </c>
      <c r="O39" s="189">
        <v>4025.8799999999997</v>
      </c>
      <c r="P39" s="189">
        <v>40706.120000000003</v>
      </c>
      <c r="Q39" s="190">
        <v>44732</v>
      </c>
      <c r="R39" s="191">
        <v>0.12</v>
      </c>
      <c r="S39" s="189">
        <v>5908.44</v>
      </c>
      <c r="T39" s="189">
        <v>43328.56</v>
      </c>
      <c r="U39" s="203">
        <v>49237</v>
      </c>
      <c r="V39" s="197">
        <v>0.13</v>
      </c>
      <c r="W39" s="11">
        <v>1469.65</v>
      </c>
      <c r="X39" s="11">
        <v>9835.35</v>
      </c>
      <c r="Y39" s="11">
        <v>11305</v>
      </c>
    </row>
    <row r="40" spans="1:25" x14ac:dyDescent="0.2">
      <c r="A40" s="196"/>
      <c r="B40" s="201">
        <v>0.53796217099626287</v>
      </c>
      <c r="C40" s="182">
        <v>19055867.092999998</v>
      </c>
      <c r="D40" s="182">
        <v>16366450.906999996</v>
      </c>
      <c r="E40" s="182">
        <v>35422318</v>
      </c>
      <c r="F40" s="201">
        <v>0.55045973433701223</v>
      </c>
      <c r="G40" s="182">
        <v>20963938.064199992</v>
      </c>
      <c r="H40" s="182">
        <v>17120478.935800001</v>
      </c>
      <c r="I40" s="182">
        <v>38084417</v>
      </c>
      <c r="J40" s="204">
        <v>0.54850928945213406</v>
      </c>
      <c r="K40" s="154">
        <v>20932915.789999995</v>
      </c>
      <c r="L40" s="154">
        <v>17230368.210000001</v>
      </c>
      <c r="M40" s="154">
        <v>38163284</v>
      </c>
      <c r="N40" s="201">
        <v>0.27943859555589601</v>
      </c>
      <c r="O40" s="182">
        <v>3239173.398</v>
      </c>
      <c r="P40" s="182">
        <v>8352544.602</v>
      </c>
      <c r="Q40" s="182">
        <v>11591718</v>
      </c>
      <c r="R40" s="201">
        <v>0.31037821465704357</v>
      </c>
      <c r="S40" s="182">
        <v>4501688.3800000008</v>
      </c>
      <c r="T40" s="182">
        <v>10002191.619999997</v>
      </c>
      <c r="U40" s="182">
        <v>14503880</v>
      </c>
      <c r="V40" s="201">
        <v>0.5054290429656515</v>
      </c>
      <c r="W40" s="182">
        <v>16990451.66</v>
      </c>
      <c r="X40" s="182">
        <v>16625447.340000004</v>
      </c>
      <c r="Y40" s="182">
        <v>33615899</v>
      </c>
    </row>
    <row r="41" spans="1:25" x14ac:dyDescent="0.2">
      <c r="B41" s="1"/>
      <c r="C41" s="1"/>
      <c r="D41" s="1"/>
      <c r="E41" s="42"/>
      <c r="F41" s="1"/>
      <c r="G41" s="1"/>
      <c r="H41" s="1"/>
      <c r="I41" s="42"/>
      <c r="J41" s="1"/>
      <c r="K41" s="1"/>
      <c r="L41" s="1"/>
      <c r="M41" s="42"/>
      <c r="N41" s="1"/>
      <c r="O41" s="1"/>
      <c r="P41" s="1"/>
      <c r="Q41" s="42"/>
      <c r="R41" s="1"/>
      <c r="S41" s="1"/>
      <c r="T41" s="1"/>
      <c r="U41" s="42"/>
      <c r="V41" s="1"/>
      <c r="W41" s="1"/>
      <c r="X41" s="1"/>
      <c r="Y41" s="42"/>
    </row>
  </sheetData>
  <sortState xmlns:xlrd2="http://schemas.microsoft.com/office/spreadsheetml/2017/richdata2" ref="A10:Y30">
    <sortCondition descending="1" ref="Y10:Y30"/>
  </sortState>
  <mergeCells count="6">
    <mergeCell ref="R10:U10"/>
    <mergeCell ref="V10:Y10"/>
    <mergeCell ref="N10:Q10"/>
    <mergeCell ref="B10:E10"/>
    <mergeCell ref="F10:I10"/>
    <mergeCell ref="J10:M10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38"/>
  <sheetViews>
    <sheetView zoomScaleNormal="100" workbookViewId="0"/>
  </sheetViews>
  <sheetFormatPr baseColWidth="10" defaultColWidth="11.42578125" defaultRowHeight="11.25" x14ac:dyDescent="0.2"/>
  <cols>
    <col min="1" max="1" width="62.5703125" style="1" bestFit="1" customWidth="1"/>
    <col min="2" max="2" width="13.42578125" style="1" hidden="1" customWidth="1"/>
    <col min="3" max="3" width="0" style="1" hidden="1" customWidth="1"/>
    <col min="4" max="4" width="13.42578125" style="1" hidden="1" customWidth="1"/>
    <col min="5" max="5" width="0" style="1" hidden="1" customWidth="1"/>
    <col min="6" max="6" width="13.42578125" style="1" hidden="1" customWidth="1"/>
    <col min="7" max="9" width="0" style="1" hidden="1" customWidth="1"/>
    <col min="10" max="10" width="11.42578125" style="1"/>
    <col min="11" max="11" width="8.85546875" style="1" customWidth="1"/>
    <col min="12" max="12" width="79.42578125" style="1" hidden="1" customWidth="1"/>
    <col min="13" max="13" width="0" style="1" hidden="1" customWidth="1"/>
    <col min="14" max="15" width="11.42578125" style="1"/>
    <col min="16" max="17" width="0" style="1" hidden="1" customWidth="1"/>
    <col min="18" max="19" width="11.42578125" style="1"/>
    <col min="20" max="21" width="0" style="1" hidden="1" customWidth="1"/>
    <col min="22" max="23" width="11.42578125" style="1"/>
    <col min="24" max="25" width="11.42578125" style="1" hidden="1" customWidth="1"/>
    <col min="26" max="16384" width="11.42578125" style="1"/>
  </cols>
  <sheetData>
    <row r="1" spans="1:25" x14ac:dyDescent="0.2">
      <c r="A1" s="177" t="s">
        <v>464</v>
      </c>
      <c r="H1" s="45"/>
    </row>
    <row r="2" spans="1:25" x14ac:dyDescent="0.2">
      <c r="A2" s="177"/>
      <c r="H2" s="45"/>
    </row>
    <row r="3" spans="1:25" customFormat="1" ht="12.75" x14ac:dyDescent="0.2">
      <c r="A3" s="183"/>
      <c r="B3" s="205">
        <v>2017</v>
      </c>
      <c r="C3" s="206"/>
      <c r="D3" s="206"/>
      <c r="E3" s="207"/>
      <c r="F3" s="205">
        <v>2018</v>
      </c>
      <c r="G3" s="206"/>
      <c r="H3" s="206"/>
      <c r="I3" s="207"/>
      <c r="J3" s="205">
        <v>2019</v>
      </c>
      <c r="K3" s="206"/>
      <c r="L3" s="206"/>
      <c r="M3" s="207"/>
      <c r="N3" s="205">
        <v>2020</v>
      </c>
      <c r="O3" s="206"/>
      <c r="P3" s="206"/>
      <c r="Q3" s="207"/>
      <c r="R3" s="205">
        <v>2021</v>
      </c>
      <c r="S3" s="206"/>
      <c r="T3" s="206"/>
      <c r="U3" s="206"/>
      <c r="V3" s="205">
        <v>2022</v>
      </c>
      <c r="W3" s="206"/>
      <c r="X3" s="206"/>
      <c r="Y3" s="206"/>
    </row>
    <row r="4" spans="1:25" customFormat="1" ht="56.25" x14ac:dyDescent="0.2">
      <c r="A4" s="184" t="s">
        <v>15</v>
      </c>
      <c r="B4" s="185" t="s">
        <v>461</v>
      </c>
      <c r="C4" s="187" t="s">
        <v>38</v>
      </c>
      <c r="D4" s="186" t="s">
        <v>456</v>
      </c>
      <c r="E4" s="187" t="s">
        <v>457</v>
      </c>
      <c r="F4" s="186" t="s">
        <v>461</v>
      </c>
      <c r="G4" s="187" t="s">
        <v>38</v>
      </c>
      <c r="H4" s="186" t="s">
        <v>456</v>
      </c>
      <c r="I4" s="187" t="s">
        <v>457</v>
      </c>
      <c r="J4" s="186" t="s">
        <v>461</v>
      </c>
      <c r="K4" s="187" t="s">
        <v>38</v>
      </c>
      <c r="L4" s="186" t="s">
        <v>456</v>
      </c>
      <c r="M4" s="187" t="s">
        <v>457</v>
      </c>
      <c r="N4" s="186" t="s">
        <v>461</v>
      </c>
      <c r="O4" s="187" t="s">
        <v>38</v>
      </c>
      <c r="P4" s="186" t="s">
        <v>456</v>
      </c>
      <c r="Q4" s="187" t="s">
        <v>457</v>
      </c>
      <c r="R4" s="186" t="s">
        <v>461</v>
      </c>
      <c r="S4" s="187" t="s">
        <v>38</v>
      </c>
      <c r="T4" s="186" t="s">
        <v>456</v>
      </c>
      <c r="U4" s="187" t="s">
        <v>457</v>
      </c>
      <c r="V4" s="186" t="s">
        <v>461</v>
      </c>
      <c r="W4" s="186" t="s">
        <v>38</v>
      </c>
      <c r="X4" s="186" t="s">
        <v>456</v>
      </c>
      <c r="Y4" s="186" t="s">
        <v>457</v>
      </c>
    </row>
    <row r="5" spans="1:25" customFormat="1" ht="12.75" x14ac:dyDescent="0.2">
      <c r="A5" s="183" t="s">
        <v>16</v>
      </c>
      <c r="B5" s="188">
        <v>0.71</v>
      </c>
      <c r="C5" s="190">
        <v>5751000</v>
      </c>
      <c r="D5" s="189">
        <v>2349000.0000000005</v>
      </c>
      <c r="E5" s="190">
        <v>8100000</v>
      </c>
      <c r="F5" s="191">
        <v>0.73</v>
      </c>
      <c r="G5" s="190">
        <v>7446000</v>
      </c>
      <c r="H5" s="189">
        <v>2754000</v>
      </c>
      <c r="I5" s="190">
        <v>10200000</v>
      </c>
      <c r="J5" s="192">
        <v>0.71</v>
      </c>
      <c r="K5" s="194">
        <v>6812334.2699999996</v>
      </c>
      <c r="L5" s="193">
        <v>2782502.7300000004</v>
      </c>
      <c r="M5" s="194">
        <v>9594837</v>
      </c>
      <c r="N5" s="191">
        <v>0.39</v>
      </c>
      <c r="O5" s="190">
        <v>1060163.9100000001</v>
      </c>
      <c r="P5" s="189">
        <v>1658205.0900000003</v>
      </c>
      <c r="Q5" s="190">
        <v>2718369.0000000005</v>
      </c>
      <c r="R5" s="191">
        <v>0.39</v>
      </c>
      <c r="S5" s="190">
        <v>1111855.68</v>
      </c>
      <c r="T5" s="189">
        <v>1739056.3199999996</v>
      </c>
      <c r="U5" s="190">
        <v>2850911.9999999995</v>
      </c>
      <c r="V5" s="197">
        <v>0.7</v>
      </c>
      <c r="W5" s="11">
        <v>5465901</v>
      </c>
      <c r="X5" s="11">
        <v>2342529.0000000009</v>
      </c>
      <c r="Y5" s="11">
        <v>7808430</v>
      </c>
    </row>
    <row r="6" spans="1:25" customFormat="1" ht="12.75" x14ac:dyDescent="0.2">
      <c r="A6" s="183" t="s">
        <v>17</v>
      </c>
      <c r="B6" s="188">
        <v>0.8</v>
      </c>
      <c r="C6" s="190">
        <v>6123200</v>
      </c>
      <c r="D6" s="189">
        <v>1530799.9999999998</v>
      </c>
      <c r="E6" s="190">
        <v>7654000</v>
      </c>
      <c r="F6" s="188">
        <v>0.80517219629115677</v>
      </c>
      <c r="G6" s="190">
        <v>6382600</v>
      </c>
      <c r="H6" s="189">
        <v>1544400</v>
      </c>
      <c r="I6" s="190">
        <v>7927000</v>
      </c>
      <c r="J6" s="192">
        <v>0.81</v>
      </c>
      <c r="K6" s="194">
        <v>6642000</v>
      </c>
      <c r="L6" s="193">
        <v>1557999.9999999991</v>
      </c>
      <c r="M6" s="194">
        <v>8199999.9999999991</v>
      </c>
      <c r="N6" s="191">
        <v>0.39</v>
      </c>
      <c r="O6" s="190">
        <v>780000</v>
      </c>
      <c r="P6" s="189">
        <v>1220000</v>
      </c>
      <c r="Q6" s="190">
        <v>2000000</v>
      </c>
      <c r="R6" s="191">
        <v>0.59</v>
      </c>
      <c r="S6" s="190">
        <v>1493606.8299999998</v>
      </c>
      <c r="T6" s="189">
        <v>1037930.1700000002</v>
      </c>
      <c r="U6" s="190">
        <v>2531537</v>
      </c>
      <c r="V6" s="197">
        <v>0.77</v>
      </c>
      <c r="W6" s="11">
        <v>5315778.93</v>
      </c>
      <c r="X6" s="11">
        <v>1587830.0699999994</v>
      </c>
      <c r="Y6" s="11">
        <v>6903609</v>
      </c>
    </row>
    <row r="7" spans="1:25" customFormat="1" ht="12.75" x14ac:dyDescent="0.2">
      <c r="A7" s="183" t="s">
        <v>19</v>
      </c>
      <c r="B7" s="188">
        <v>0.68</v>
      </c>
      <c r="C7" s="190">
        <v>2160932.56</v>
      </c>
      <c r="D7" s="189">
        <v>1016909.4399999998</v>
      </c>
      <c r="E7" s="190">
        <v>3177842</v>
      </c>
      <c r="F7" s="191">
        <v>0.6</v>
      </c>
      <c r="G7" s="190">
        <v>1971734.4</v>
      </c>
      <c r="H7" s="189">
        <v>1314489.6000000001</v>
      </c>
      <c r="I7" s="190">
        <v>3286224</v>
      </c>
      <c r="J7" s="192">
        <v>0.65</v>
      </c>
      <c r="K7" s="194">
        <v>2373550.4</v>
      </c>
      <c r="L7" s="193">
        <v>1278065.5999999996</v>
      </c>
      <c r="M7" s="194">
        <v>3651615.9999999995</v>
      </c>
      <c r="N7" s="191">
        <v>0.49</v>
      </c>
      <c r="O7" s="190">
        <v>424964.26</v>
      </c>
      <c r="P7" s="189">
        <v>442309.74</v>
      </c>
      <c r="Q7" s="190">
        <v>867274</v>
      </c>
      <c r="R7" s="191">
        <v>0.51</v>
      </c>
      <c r="S7" s="190">
        <v>531988.65</v>
      </c>
      <c r="T7" s="189">
        <v>511126.35</v>
      </c>
      <c r="U7" s="190">
        <v>1043115</v>
      </c>
      <c r="V7" s="197">
        <v>0.57999999999999996</v>
      </c>
      <c r="W7" s="11">
        <v>1898751.22</v>
      </c>
      <c r="X7" s="11">
        <v>1374957.78</v>
      </c>
      <c r="Y7" s="11">
        <v>3273709</v>
      </c>
    </row>
    <row r="8" spans="1:25" customFormat="1" ht="12.75" x14ac:dyDescent="0.2">
      <c r="A8" s="183" t="s">
        <v>18</v>
      </c>
      <c r="B8" s="188">
        <v>0.43</v>
      </c>
      <c r="C8" s="190">
        <v>1449474.96</v>
      </c>
      <c r="D8" s="189">
        <v>1921397.0400000003</v>
      </c>
      <c r="E8" s="190">
        <v>3370872</v>
      </c>
      <c r="F8" s="191">
        <v>0.43</v>
      </c>
      <c r="G8" s="190">
        <v>1527163.92</v>
      </c>
      <c r="H8" s="189">
        <v>2024380.08</v>
      </c>
      <c r="I8" s="190">
        <v>3551544</v>
      </c>
      <c r="J8" s="192">
        <v>0.37</v>
      </c>
      <c r="K8" s="194">
        <v>1221000</v>
      </c>
      <c r="L8" s="193">
        <v>2079000</v>
      </c>
      <c r="M8" s="194">
        <v>3300000</v>
      </c>
      <c r="N8" s="191">
        <v>0.25</v>
      </c>
      <c r="O8" s="190">
        <v>228250</v>
      </c>
      <c r="P8" s="189">
        <v>684750</v>
      </c>
      <c r="Q8" s="190">
        <v>913000</v>
      </c>
      <c r="R8" s="191">
        <v>0.26</v>
      </c>
      <c r="S8" s="190">
        <v>390270.4</v>
      </c>
      <c r="T8" s="189">
        <v>1110769.6000000001</v>
      </c>
      <c r="U8" s="190">
        <v>1501040</v>
      </c>
      <c r="V8" s="197">
        <v>0.36</v>
      </c>
      <c r="W8" s="11">
        <v>1083424.32</v>
      </c>
      <c r="X8" s="11">
        <v>1926087.6800000004</v>
      </c>
      <c r="Y8" s="11">
        <v>3009512</v>
      </c>
    </row>
    <row r="9" spans="1:25" customFormat="1" ht="12.75" x14ac:dyDescent="0.2">
      <c r="A9" s="195" t="s">
        <v>20</v>
      </c>
      <c r="B9" s="188">
        <v>0.09</v>
      </c>
      <c r="C9" s="190">
        <v>257145.3</v>
      </c>
      <c r="D9" s="189">
        <v>2600024.7000000002</v>
      </c>
      <c r="E9" s="190">
        <v>2857170</v>
      </c>
      <c r="F9" s="191">
        <v>0.10511159128530163</v>
      </c>
      <c r="G9" s="190">
        <v>302572.65000000002</v>
      </c>
      <c r="H9" s="189">
        <v>2576012.35</v>
      </c>
      <c r="I9" s="190">
        <v>2878585</v>
      </c>
      <c r="J9" s="192">
        <v>0.12</v>
      </c>
      <c r="K9" s="194">
        <v>348000</v>
      </c>
      <c r="L9" s="193">
        <v>2552000</v>
      </c>
      <c r="M9" s="194">
        <v>2900000</v>
      </c>
      <c r="N9" s="191">
        <v>0.05</v>
      </c>
      <c r="O9" s="190">
        <v>39650</v>
      </c>
      <c r="P9" s="189">
        <v>753350</v>
      </c>
      <c r="Q9" s="190">
        <v>793000</v>
      </c>
      <c r="R9" s="191">
        <v>5.3999999999999999E-2</v>
      </c>
      <c r="S9" s="190">
        <v>55890</v>
      </c>
      <c r="T9" s="189">
        <v>979110</v>
      </c>
      <c r="U9" s="190">
        <v>1035000</v>
      </c>
      <c r="V9" s="197">
        <v>0.1</v>
      </c>
      <c r="W9" s="11">
        <v>210067.5</v>
      </c>
      <c r="X9" s="11">
        <v>1890607.5</v>
      </c>
      <c r="Y9" s="11">
        <v>2100675</v>
      </c>
    </row>
    <row r="10" spans="1:25" customFormat="1" ht="12.75" x14ac:dyDescent="0.2">
      <c r="A10" s="183" t="s">
        <v>11</v>
      </c>
      <c r="B10" s="188">
        <v>0.35</v>
      </c>
      <c r="C10" s="190">
        <v>320910.8</v>
      </c>
      <c r="D10" s="189">
        <v>595977.20000000007</v>
      </c>
      <c r="E10" s="190">
        <v>916888</v>
      </c>
      <c r="F10" s="188">
        <v>0.38</v>
      </c>
      <c r="G10" s="190">
        <v>386777.68</v>
      </c>
      <c r="H10" s="189">
        <v>631058.32000000007</v>
      </c>
      <c r="I10" s="190">
        <v>1017836</v>
      </c>
      <c r="J10" s="192">
        <v>0.35</v>
      </c>
      <c r="K10" s="194">
        <v>385000</v>
      </c>
      <c r="L10" s="193">
        <v>715000</v>
      </c>
      <c r="M10" s="194">
        <v>1100000</v>
      </c>
      <c r="N10" s="191">
        <v>0.13</v>
      </c>
      <c r="O10" s="190">
        <v>74880</v>
      </c>
      <c r="P10" s="189">
        <v>501120</v>
      </c>
      <c r="Q10" s="190">
        <v>576000</v>
      </c>
      <c r="R10" s="191">
        <v>0.16500000000000001</v>
      </c>
      <c r="S10" s="190">
        <v>116820</v>
      </c>
      <c r="T10" s="189">
        <v>591180</v>
      </c>
      <c r="U10" s="190">
        <v>708000</v>
      </c>
      <c r="V10" s="197">
        <v>0.28000000000000003</v>
      </c>
      <c r="W10" s="11">
        <v>308000.00000000006</v>
      </c>
      <c r="X10" s="11">
        <v>792000</v>
      </c>
      <c r="Y10" s="11">
        <v>1100000</v>
      </c>
    </row>
    <row r="11" spans="1:25" customFormat="1" ht="12.75" x14ac:dyDescent="0.2">
      <c r="A11" s="183" t="s">
        <v>21</v>
      </c>
      <c r="B11" s="188">
        <v>0.67</v>
      </c>
      <c r="C11" s="190">
        <v>788581.29</v>
      </c>
      <c r="D11" s="189">
        <v>388405.70999999996</v>
      </c>
      <c r="E11" s="190">
        <v>1176987</v>
      </c>
      <c r="F11" s="191">
        <v>0.7</v>
      </c>
      <c r="G11" s="190">
        <v>845739.29999999993</v>
      </c>
      <c r="H11" s="189">
        <v>362459.70000000007</v>
      </c>
      <c r="I11" s="190">
        <v>1208199</v>
      </c>
      <c r="J11" s="192">
        <v>0.7</v>
      </c>
      <c r="K11" s="194">
        <v>876400</v>
      </c>
      <c r="L11" s="193">
        <v>375600</v>
      </c>
      <c r="M11" s="194">
        <v>1252000</v>
      </c>
      <c r="N11" s="191">
        <v>0.51</v>
      </c>
      <c r="O11" s="190">
        <v>160650</v>
      </c>
      <c r="P11" s="189">
        <v>154350</v>
      </c>
      <c r="Q11" s="190">
        <v>315000</v>
      </c>
      <c r="R11" s="191">
        <v>0.54</v>
      </c>
      <c r="S11" s="190">
        <v>247686.66</v>
      </c>
      <c r="T11" s="189">
        <v>210992.34</v>
      </c>
      <c r="U11" s="190">
        <v>458679</v>
      </c>
      <c r="V11" s="197">
        <v>0.65</v>
      </c>
      <c r="W11" s="11">
        <v>696196.8</v>
      </c>
      <c r="X11" s="11">
        <v>374875.19999999995</v>
      </c>
      <c r="Y11" s="11">
        <v>1071072</v>
      </c>
    </row>
    <row r="12" spans="1:25" customFormat="1" ht="12.75" x14ac:dyDescent="0.2">
      <c r="A12" s="183" t="s">
        <v>23</v>
      </c>
      <c r="B12" s="188">
        <v>0.66</v>
      </c>
      <c r="C12" s="190">
        <v>619265.46000000008</v>
      </c>
      <c r="D12" s="189">
        <v>319015.54000000004</v>
      </c>
      <c r="E12" s="190">
        <v>938281.00000000012</v>
      </c>
      <c r="F12" s="191">
        <v>0.61290470103231054</v>
      </c>
      <c r="G12" s="190">
        <v>603161.35499999998</v>
      </c>
      <c r="H12" s="189">
        <v>380941.64500000014</v>
      </c>
      <c r="I12" s="190">
        <v>984103.00000000012</v>
      </c>
      <c r="J12" s="192">
        <v>0.56999999999999995</v>
      </c>
      <c r="K12" s="194">
        <v>587057.25</v>
      </c>
      <c r="L12" s="193">
        <v>442867.75000000012</v>
      </c>
      <c r="M12" s="194">
        <v>1029925.0000000001</v>
      </c>
      <c r="N12" s="191">
        <v>0.51</v>
      </c>
      <c r="O12" s="190">
        <v>117889.56</v>
      </c>
      <c r="P12" s="189">
        <v>113266.44</v>
      </c>
      <c r="Q12" s="190">
        <v>231156</v>
      </c>
      <c r="R12" s="191">
        <v>0.41</v>
      </c>
      <c r="S12" s="190">
        <v>155860.26999999999</v>
      </c>
      <c r="T12" s="189">
        <v>224286.73</v>
      </c>
      <c r="U12" s="190">
        <v>380147</v>
      </c>
      <c r="V12" s="197">
        <v>0.61</v>
      </c>
      <c r="W12" s="11">
        <v>618247.19999999995</v>
      </c>
      <c r="X12" s="11">
        <v>395272.80000000005</v>
      </c>
      <c r="Y12" s="11">
        <v>1013520</v>
      </c>
    </row>
    <row r="13" spans="1:25" customFormat="1" ht="12.75" x14ac:dyDescent="0.2">
      <c r="A13" s="183" t="s">
        <v>22</v>
      </c>
      <c r="B13" s="188">
        <v>0.18</v>
      </c>
      <c r="C13" s="190">
        <v>211268.16</v>
      </c>
      <c r="D13" s="189">
        <v>962443.84000000008</v>
      </c>
      <c r="E13" s="190">
        <v>1173712</v>
      </c>
      <c r="F13" s="188">
        <v>0.16</v>
      </c>
      <c r="G13" s="190">
        <v>201890.72</v>
      </c>
      <c r="H13" s="189">
        <v>1059926.28</v>
      </c>
      <c r="I13" s="190">
        <v>1261817</v>
      </c>
      <c r="J13" s="192">
        <v>0.18</v>
      </c>
      <c r="K13" s="194">
        <v>200236.13999999998</v>
      </c>
      <c r="L13" s="193">
        <v>912186.86</v>
      </c>
      <c r="M13" s="194">
        <v>1112423</v>
      </c>
      <c r="N13" s="191">
        <v>0.17</v>
      </c>
      <c r="O13" s="190">
        <v>74596.680000000008</v>
      </c>
      <c r="P13" s="189">
        <v>364207.32</v>
      </c>
      <c r="Q13" s="190">
        <v>438804</v>
      </c>
      <c r="R13" s="191">
        <v>0.1</v>
      </c>
      <c r="S13" s="190">
        <v>61579.5</v>
      </c>
      <c r="T13" s="189">
        <v>554215.5</v>
      </c>
      <c r="U13" s="190">
        <v>615795</v>
      </c>
      <c r="V13" s="197">
        <v>0.18</v>
      </c>
      <c r="W13" s="11">
        <v>180964.25999999998</v>
      </c>
      <c r="X13" s="11">
        <v>824392.73999999987</v>
      </c>
      <c r="Y13" s="11">
        <v>1005357</v>
      </c>
    </row>
    <row r="14" spans="1:25" customFormat="1" ht="12.75" x14ac:dyDescent="0.2">
      <c r="A14" s="183" t="s">
        <v>26</v>
      </c>
      <c r="B14" s="188">
        <v>0.47</v>
      </c>
      <c r="C14" s="190">
        <v>408804.58999999997</v>
      </c>
      <c r="D14" s="189">
        <v>460992.41000000003</v>
      </c>
      <c r="E14" s="190">
        <v>869797</v>
      </c>
      <c r="F14" s="191">
        <v>0.52</v>
      </c>
      <c r="G14" s="190">
        <v>149274.84</v>
      </c>
      <c r="H14" s="189">
        <v>137792.16</v>
      </c>
      <c r="I14" s="190">
        <v>287067</v>
      </c>
      <c r="J14" s="192">
        <v>0.55000000000000004</v>
      </c>
      <c r="K14" s="194">
        <v>163030.45000000001</v>
      </c>
      <c r="L14" s="193">
        <v>133388.54999999999</v>
      </c>
      <c r="M14" s="194">
        <v>296419</v>
      </c>
      <c r="N14" s="191">
        <v>0.29799999999999999</v>
      </c>
      <c r="O14" s="190">
        <v>62242.962</v>
      </c>
      <c r="P14" s="189">
        <v>146626.038</v>
      </c>
      <c r="Q14" s="190">
        <v>208869</v>
      </c>
      <c r="R14" s="191">
        <v>0.08</v>
      </c>
      <c r="S14" s="190">
        <v>31310.32</v>
      </c>
      <c r="T14" s="189">
        <v>360068.68</v>
      </c>
      <c r="U14" s="190">
        <v>391379</v>
      </c>
      <c r="V14" s="197">
        <v>0.24</v>
      </c>
      <c r="W14" s="11">
        <v>216382.31999999998</v>
      </c>
      <c r="X14" s="11">
        <v>685210.67999999993</v>
      </c>
      <c r="Y14" s="11">
        <v>901593</v>
      </c>
    </row>
    <row r="15" spans="1:25" customFormat="1" ht="12.75" x14ac:dyDescent="0.2">
      <c r="A15" s="195" t="s">
        <v>24</v>
      </c>
      <c r="B15" s="188">
        <v>0.09</v>
      </c>
      <c r="C15" s="190">
        <v>65122.47</v>
      </c>
      <c r="D15" s="189">
        <v>658460.53</v>
      </c>
      <c r="E15" s="190">
        <v>723583</v>
      </c>
      <c r="F15" s="191">
        <v>0.15</v>
      </c>
      <c r="G15" s="190">
        <v>102087.45</v>
      </c>
      <c r="H15" s="189">
        <v>578495.55000000005</v>
      </c>
      <c r="I15" s="190">
        <v>680583</v>
      </c>
      <c r="J15" s="192">
        <v>0.2</v>
      </c>
      <c r="K15" s="194">
        <v>134200</v>
      </c>
      <c r="L15" s="193">
        <v>536800</v>
      </c>
      <c r="M15" s="194">
        <v>671000</v>
      </c>
      <c r="N15" s="191">
        <v>0.06</v>
      </c>
      <c r="O15" s="190">
        <v>16591.8</v>
      </c>
      <c r="P15" s="189">
        <v>259938.2</v>
      </c>
      <c r="Q15" s="190">
        <v>276530</v>
      </c>
      <c r="R15" s="191">
        <v>0.06</v>
      </c>
      <c r="S15" s="190">
        <v>21089.279999999999</v>
      </c>
      <c r="T15" s="189">
        <v>330398.71999999997</v>
      </c>
      <c r="U15" s="190">
        <v>351488</v>
      </c>
      <c r="V15" s="197">
        <v>0.1</v>
      </c>
      <c r="W15" s="11">
        <v>61054.400000000001</v>
      </c>
      <c r="X15" s="11">
        <v>549489.6</v>
      </c>
      <c r="Y15" s="11">
        <v>610544</v>
      </c>
    </row>
    <row r="16" spans="1:25" customFormat="1" ht="12.75" x14ac:dyDescent="0.2">
      <c r="A16" s="183" t="s">
        <v>27</v>
      </c>
      <c r="B16" s="188">
        <v>0.16</v>
      </c>
      <c r="C16" s="190">
        <v>72000</v>
      </c>
      <c r="D16" s="189">
        <v>378000</v>
      </c>
      <c r="E16" s="190">
        <v>450000</v>
      </c>
      <c r="F16" s="191">
        <v>0.14915564598168871</v>
      </c>
      <c r="G16" s="190">
        <v>73310</v>
      </c>
      <c r="H16" s="189">
        <v>418190</v>
      </c>
      <c r="I16" s="190">
        <v>491500</v>
      </c>
      <c r="J16" s="192">
        <v>0.14000000000000001</v>
      </c>
      <c r="K16" s="194">
        <v>74620</v>
      </c>
      <c r="L16" s="193">
        <v>458380</v>
      </c>
      <c r="M16" s="194">
        <v>533000</v>
      </c>
      <c r="N16" s="191">
        <v>0.1</v>
      </c>
      <c r="O16" s="190">
        <v>21600</v>
      </c>
      <c r="P16" s="189">
        <v>194400</v>
      </c>
      <c r="Q16" s="190">
        <v>216000</v>
      </c>
      <c r="R16" s="191">
        <v>0.08</v>
      </c>
      <c r="S16" s="190">
        <v>17914.48</v>
      </c>
      <c r="T16" s="189">
        <v>206016.52</v>
      </c>
      <c r="U16" s="190">
        <v>223931</v>
      </c>
      <c r="V16" s="197">
        <v>0.09</v>
      </c>
      <c r="W16" s="11">
        <v>51390</v>
      </c>
      <c r="X16" s="11">
        <v>519610</v>
      </c>
      <c r="Y16" s="11">
        <v>571000</v>
      </c>
    </row>
    <row r="17" spans="1:25" customFormat="1" ht="12.75" x14ac:dyDescent="0.2">
      <c r="A17" s="195" t="s">
        <v>25</v>
      </c>
      <c r="B17" s="188">
        <v>0.41623153250156769</v>
      </c>
      <c r="C17" s="190">
        <v>236965.19</v>
      </c>
      <c r="D17" s="189">
        <v>332345.81</v>
      </c>
      <c r="E17" s="190">
        <v>569311</v>
      </c>
      <c r="F17" s="191">
        <v>0.6</v>
      </c>
      <c r="G17" s="190">
        <v>335985</v>
      </c>
      <c r="H17" s="189">
        <v>223990</v>
      </c>
      <c r="I17" s="190">
        <v>559975</v>
      </c>
      <c r="J17" s="192">
        <v>0.79</v>
      </c>
      <c r="K17" s="194">
        <v>435004.81</v>
      </c>
      <c r="L17" s="193">
        <v>115634.19</v>
      </c>
      <c r="M17" s="194">
        <v>550639</v>
      </c>
      <c r="N17" s="188">
        <v>0.15</v>
      </c>
      <c r="O17" s="190">
        <v>22921.200000000001</v>
      </c>
      <c r="P17" s="189">
        <v>129886.8</v>
      </c>
      <c r="Q17" s="190">
        <v>152808</v>
      </c>
      <c r="R17" s="191">
        <v>0.41</v>
      </c>
      <c r="S17" s="190">
        <v>102256.45999999999</v>
      </c>
      <c r="T17" s="189">
        <v>147149.54</v>
      </c>
      <c r="U17" s="190">
        <v>249406</v>
      </c>
      <c r="V17" s="197">
        <v>0.7</v>
      </c>
      <c r="W17" s="11">
        <v>385012.6</v>
      </c>
      <c r="X17" s="11">
        <v>165005.40000000002</v>
      </c>
      <c r="Y17" s="11">
        <v>550018</v>
      </c>
    </row>
    <row r="18" spans="1:25" customFormat="1" ht="12.75" x14ac:dyDescent="0.2">
      <c r="A18" s="183" t="s">
        <v>31</v>
      </c>
      <c r="B18" s="188">
        <v>0.02</v>
      </c>
      <c r="C18" s="190">
        <v>7903.16</v>
      </c>
      <c r="D18" s="189">
        <v>387254.84</v>
      </c>
      <c r="E18" s="190">
        <v>395158</v>
      </c>
      <c r="F18" s="188">
        <v>0.02</v>
      </c>
      <c r="G18" s="190">
        <v>9197.52</v>
      </c>
      <c r="H18" s="189">
        <v>450678.48</v>
      </c>
      <c r="I18" s="190">
        <v>459876</v>
      </c>
      <c r="J18" s="192">
        <v>0.02</v>
      </c>
      <c r="K18" s="194">
        <v>10491.880000000001</v>
      </c>
      <c r="L18" s="193">
        <v>514102.12</v>
      </c>
      <c r="M18" s="194">
        <v>524594</v>
      </c>
      <c r="N18" s="191">
        <v>0.02</v>
      </c>
      <c r="O18" s="190">
        <v>4394.24</v>
      </c>
      <c r="P18" s="189">
        <v>215317.75999999998</v>
      </c>
      <c r="Q18" s="190">
        <v>219711.99999999997</v>
      </c>
      <c r="R18" s="191">
        <v>0.01</v>
      </c>
      <c r="S18" s="190">
        <v>2482.88</v>
      </c>
      <c r="T18" s="189">
        <v>245805.12</v>
      </c>
      <c r="U18" s="190">
        <v>248288</v>
      </c>
      <c r="V18" s="197">
        <v>0.01</v>
      </c>
      <c r="W18" s="11">
        <v>4979.03</v>
      </c>
      <c r="X18" s="11">
        <v>492923.96999999991</v>
      </c>
      <c r="Y18" s="11">
        <v>497903</v>
      </c>
    </row>
    <row r="19" spans="1:25" customFormat="1" ht="12.75" x14ac:dyDescent="0.2">
      <c r="A19" s="183" t="s">
        <v>28</v>
      </c>
      <c r="B19" s="188">
        <v>0.25</v>
      </c>
      <c r="C19" s="190">
        <v>106250</v>
      </c>
      <c r="D19" s="189">
        <v>318750</v>
      </c>
      <c r="E19" s="190">
        <v>425000</v>
      </c>
      <c r="F19" s="191">
        <v>0.25</v>
      </c>
      <c r="G19" s="190">
        <v>106250</v>
      </c>
      <c r="H19" s="189">
        <v>318750</v>
      </c>
      <c r="I19" s="190">
        <v>425000</v>
      </c>
      <c r="J19" s="192">
        <v>0.25</v>
      </c>
      <c r="K19" s="194">
        <v>106250</v>
      </c>
      <c r="L19" s="193">
        <v>318750</v>
      </c>
      <c r="M19" s="194">
        <v>425000</v>
      </c>
      <c r="N19" s="191">
        <v>0.2</v>
      </c>
      <c r="O19" s="190">
        <v>42300</v>
      </c>
      <c r="P19" s="189">
        <v>169200</v>
      </c>
      <c r="Q19" s="190">
        <v>211500</v>
      </c>
      <c r="R19" s="191">
        <v>0.1</v>
      </c>
      <c r="S19" s="190">
        <v>28800</v>
      </c>
      <c r="T19" s="189">
        <v>259200</v>
      </c>
      <c r="U19" s="190">
        <v>288000</v>
      </c>
      <c r="V19" s="197">
        <v>0.2</v>
      </c>
      <c r="W19" s="11">
        <v>89000</v>
      </c>
      <c r="X19" s="11">
        <v>356000</v>
      </c>
      <c r="Y19" s="11">
        <v>445000</v>
      </c>
    </row>
    <row r="20" spans="1:25" customFormat="1" ht="12.75" x14ac:dyDescent="0.2">
      <c r="A20" s="195" t="s">
        <v>458</v>
      </c>
      <c r="B20" s="188">
        <v>0.1</v>
      </c>
      <c r="C20" s="190">
        <v>27024.2</v>
      </c>
      <c r="D20" s="189">
        <v>243217.80000000002</v>
      </c>
      <c r="E20" s="190">
        <v>270242</v>
      </c>
      <c r="F20" s="188">
        <v>0.13</v>
      </c>
      <c r="G20" s="190">
        <v>43256.200000000004</v>
      </c>
      <c r="H20" s="189">
        <v>289483.8</v>
      </c>
      <c r="I20" s="190">
        <v>332740</v>
      </c>
      <c r="J20" s="192">
        <v>0.12</v>
      </c>
      <c r="K20" s="194">
        <v>37063.56</v>
      </c>
      <c r="L20" s="193">
        <v>271799.44</v>
      </c>
      <c r="M20" s="194">
        <v>308863</v>
      </c>
      <c r="N20" s="191">
        <v>6.9000000000000006E-2</v>
      </c>
      <c r="O20" s="190">
        <v>8303.4600000000009</v>
      </c>
      <c r="P20" s="189">
        <v>112036.54</v>
      </c>
      <c r="Q20" s="190">
        <v>120340</v>
      </c>
      <c r="R20" s="191">
        <v>6.9000000000000006E-2</v>
      </c>
      <c r="S20" s="190">
        <v>8303.4600000000009</v>
      </c>
      <c r="T20" s="189">
        <v>112036.54</v>
      </c>
      <c r="U20" s="202">
        <v>120340</v>
      </c>
      <c r="V20" s="197">
        <v>0.11</v>
      </c>
      <c r="W20" s="11">
        <v>36013.67</v>
      </c>
      <c r="X20" s="11">
        <v>291383.33</v>
      </c>
      <c r="Y20" s="11">
        <v>327397</v>
      </c>
    </row>
    <row r="21" spans="1:25" customFormat="1" ht="12.75" x14ac:dyDescent="0.2">
      <c r="A21" s="195" t="s">
        <v>200</v>
      </c>
      <c r="B21" s="188">
        <v>0.24</v>
      </c>
      <c r="C21" s="190">
        <v>60195.839999999997</v>
      </c>
      <c r="D21" s="189">
        <v>190620.16</v>
      </c>
      <c r="E21" s="190">
        <v>250816</v>
      </c>
      <c r="F21" s="191">
        <v>0.24</v>
      </c>
      <c r="G21" s="190">
        <v>61987.68</v>
      </c>
      <c r="H21" s="189">
        <v>196294.32</v>
      </c>
      <c r="I21" s="190">
        <v>258282</v>
      </c>
      <c r="J21" s="192">
        <v>0.26</v>
      </c>
      <c r="K21" s="194">
        <v>107387.54000000001</v>
      </c>
      <c r="L21" s="193">
        <v>305641.45999999996</v>
      </c>
      <c r="M21" s="194">
        <v>413029</v>
      </c>
      <c r="N21" s="191">
        <v>0.02</v>
      </c>
      <c r="O21" s="190">
        <v>4569.7</v>
      </c>
      <c r="P21" s="189">
        <v>223915.3</v>
      </c>
      <c r="Q21" s="190">
        <v>228485</v>
      </c>
      <c r="R21" s="191">
        <v>0.02</v>
      </c>
      <c r="S21" s="190">
        <v>4569.7</v>
      </c>
      <c r="T21" s="189">
        <v>223915.3</v>
      </c>
      <c r="U21" s="202">
        <v>228485</v>
      </c>
      <c r="V21" s="197">
        <v>0.05</v>
      </c>
      <c r="W21" s="11">
        <v>16079.7</v>
      </c>
      <c r="X21" s="11">
        <v>305514.3</v>
      </c>
      <c r="Y21" s="11">
        <v>321594</v>
      </c>
    </row>
    <row r="22" spans="1:25" customFormat="1" ht="12.75" x14ac:dyDescent="0.2">
      <c r="A22" s="195" t="s">
        <v>199</v>
      </c>
      <c r="B22" s="188">
        <v>0.18</v>
      </c>
      <c r="C22" s="190">
        <v>45687.06</v>
      </c>
      <c r="D22" s="189">
        <v>208129.94</v>
      </c>
      <c r="E22" s="190">
        <v>253817</v>
      </c>
      <c r="F22" s="191">
        <v>0.21</v>
      </c>
      <c r="G22" s="190">
        <v>53970</v>
      </c>
      <c r="H22" s="189">
        <v>203030</v>
      </c>
      <c r="I22" s="190">
        <v>257000</v>
      </c>
      <c r="J22" s="192">
        <v>0.22</v>
      </c>
      <c r="K22" s="194">
        <v>65474.2</v>
      </c>
      <c r="L22" s="193">
        <v>232135.8</v>
      </c>
      <c r="M22" s="194">
        <v>297610</v>
      </c>
      <c r="N22" s="188">
        <v>0.12</v>
      </c>
      <c r="O22" s="190">
        <v>20395.8</v>
      </c>
      <c r="P22" s="189">
        <v>149569.20000000001</v>
      </c>
      <c r="Q22" s="190">
        <v>169965</v>
      </c>
      <c r="R22" s="191">
        <v>0.12</v>
      </c>
      <c r="S22" s="190">
        <v>20395.8</v>
      </c>
      <c r="T22" s="189">
        <v>149569.20000000001</v>
      </c>
      <c r="U22" s="202">
        <v>169965</v>
      </c>
      <c r="V22" s="197">
        <v>0.28499999999999998</v>
      </c>
      <c r="W22" s="11">
        <v>89294.204999999987</v>
      </c>
      <c r="X22" s="11">
        <v>224018.79500000001</v>
      </c>
      <c r="Y22" s="11">
        <v>313313</v>
      </c>
    </row>
    <row r="23" spans="1:25" customFormat="1" ht="12.75" x14ac:dyDescent="0.2">
      <c r="A23" s="183" t="s">
        <v>30</v>
      </c>
      <c r="B23" s="188">
        <v>0.185</v>
      </c>
      <c r="C23" s="190">
        <v>65928.264999999999</v>
      </c>
      <c r="D23" s="189">
        <v>290440.73499999999</v>
      </c>
      <c r="E23" s="190">
        <v>356369</v>
      </c>
      <c r="F23" s="188">
        <v>0.18</v>
      </c>
      <c r="G23" s="190">
        <v>54041.4</v>
      </c>
      <c r="H23" s="189">
        <v>246188.6</v>
      </c>
      <c r="I23" s="190">
        <v>300230</v>
      </c>
      <c r="J23" s="192">
        <v>0.25</v>
      </c>
      <c r="K23" s="194">
        <v>70920.25</v>
      </c>
      <c r="L23" s="193">
        <v>212760.75</v>
      </c>
      <c r="M23" s="194">
        <v>283681</v>
      </c>
      <c r="N23" s="191">
        <v>0.08</v>
      </c>
      <c r="O23" s="190">
        <v>12516.56</v>
      </c>
      <c r="P23" s="189">
        <v>143940.44</v>
      </c>
      <c r="Q23" s="190">
        <v>156457</v>
      </c>
      <c r="R23" s="191">
        <v>0.122</v>
      </c>
      <c r="S23" s="190">
        <v>17622.534</v>
      </c>
      <c r="T23" s="189">
        <v>126824.466</v>
      </c>
      <c r="U23" s="190">
        <v>144447</v>
      </c>
      <c r="V23" s="197">
        <v>0.1923</v>
      </c>
      <c r="W23" s="11">
        <v>56536.2</v>
      </c>
      <c r="X23" s="11">
        <v>237463.8</v>
      </c>
      <c r="Y23" s="11">
        <v>294000</v>
      </c>
    </row>
    <row r="24" spans="1:25" customFormat="1" ht="12.75" x14ac:dyDescent="0.2">
      <c r="A24" s="183" t="s">
        <v>32</v>
      </c>
      <c r="B24" s="188">
        <v>0.33</v>
      </c>
      <c r="C24" s="190">
        <v>101977.26000000001</v>
      </c>
      <c r="D24" s="189">
        <v>207044.74</v>
      </c>
      <c r="E24" s="190">
        <v>309022</v>
      </c>
      <c r="F24" s="191">
        <v>0.35</v>
      </c>
      <c r="G24" s="190">
        <v>116383.74999999999</v>
      </c>
      <c r="H24" s="189">
        <v>216141.25</v>
      </c>
      <c r="I24" s="190">
        <v>332525</v>
      </c>
      <c r="J24" s="192">
        <v>0.3</v>
      </c>
      <c r="K24" s="194">
        <v>106056.3</v>
      </c>
      <c r="L24" s="193">
        <v>247464.7</v>
      </c>
      <c r="M24" s="194">
        <v>353521</v>
      </c>
      <c r="N24" s="191">
        <v>0.14000000000000001</v>
      </c>
      <c r="O24" s="190">
        <v>27773.9</v>
      </c>
      <c r="P24" s="189">
        <v>170611.1</v>
      </c>
      <c r="Q24" s="190">
        <v>198385</v>
      </c>
      <c r="R24" s="191">
        <v>0.14000000000000001</v>
      </c>
      <c r="S24" s="190">
        <v>31352.020000000004</v>
      </c>
      <c r="T24" s="189">
        <v>192590.97999999998</v>
      </c>
      <c r="U24" s="190">
        <v>223943</v>
      </c>
      <c r="V24" s="197">
        <v>0.24</v>
      </c>
      <c r="W24" s="11">
        <v>68073.119999999995</v>
      </c>
      <c r="X24" s="11">
        <v>215564.88</v>
      </c>
      <c r="Y24" s="11">
        <v>283638</v>
      </c>
    </row>
    <row r="25" spans="1:25" customFormat="1" ht="12.75" x14ac:dyDescent="0.2">
      <c r="A25" s="183" t="s">
        <v>33</v>
      </c>
      <c r="B25" s="188">
        <v>0.19500000000000001</v>
      </c>
      <c r="C25" s="190">
        <v>23597.73</v>
      </c>
      <c r="D25" s="189">
        <v>97416.26999999999</v>
      </c>
      <c r="E25" s="190">
        <v>121014</v>
      </c>
      <c r="F25" s="191">
        <v>0.19</v>
      </c>
      <c r="G25" s="190">
        <v>35685.040000000001</v>
      </c>
      <c r="H25" s="189">
        <v>152130.96</v>
      </c>
      <c r="I25" s="190">
        <v>187816</v>
      </c>
      <c r="J25" s="192">
        <v>0.19</v>
      </c>
      <c r="K25" s="194">
        <v>42544.99</v>
      </c>
      <c r="L25" s="193">
        <v>181376.01</v>
      </c>
      <c r="M25" s="194">
        <v>223921</v>
      </c>
      <c r="N25" s="188">
        <v>0.05</v>
      </c>
      <c r="O25" s="190">
        <v>5893.1500000000005</v>
      </c>
      <c r="P25" s="189">
        <v>111969.85</v>
      </c>
      <c r="Q25" s="190">
        <v>117863</v>
      </c>
      <c r="R25" s="191">
        <v>0.06</v>
      </c>
      <c r="S25" s="190">
        <v>6051.9</v>
      </c>
      <c r="T25" s="189">
        <v>94813.1</v>
      </c>
      <c r="U25" s="190">
        <v>100865</v>
      </c>
      <c r="V25" s="197">
        <v>0.13</v>
      </c>
      <c r="W25" s="11">
        <v>35835.410000000003</v>
      </c>
      <c r="X25" s="11">
        <v>239821.59</v>
      </c>
      <c r="Y25" s="11">
        <v>275657</v>
      </c>
    </row>
    <row r="26" spans="1:25" customFormat="1" ht="12.75" x14ac:dyDescent="0.2">
      <c r="A26" s="195" t="s">
        <v>29</v>
      </c>
      <c r="B26" s="188">
        <v>0.109</v>
      </c>
      <c r="C26" s="190">
        <v>32434.584999999999</v>
      </c>
      <c r="D26" s="189">
        <v>265130.41499999998</v>
      </c>
      <c r="E26" s="190">
        <v>297565</v>
      </c>
      <c r="F26" s="191">
        <v>0.1</v>
      </c>
      <c r="G26" s="190">
        <v>42331.8</v>
      </c>
      <c r="H26" s="189">
        <v>380986.2</v>
      </c>
      <c r="I26" s="190">
        <v>423318</v>
      </c>
      <c r="J26" s="192">
        <v>0.09</v>
      </c>
      <c r="K26" s="194">
        <v>32268.51</v>
      </c>
      <c r="L26" s="193">
        <v>326270.49</v>
      </c>
      <c r="M26" s="194">
        <v>358539</v>
      </c>
      <c r="N26" s="191">
        <v>0.05</v>
      </c>
      <c r="O26" s="190">
        <v>4147.25</v>
      </c>
      <c r="P26" s="189">
        <v>78797.75</v>
      </c>
      <c r="Q26" s="190">
        <v>82945</v>
      </c>
      <c r="R26" s="191">
        <v>0.01</v>
      </c>
      <c r="S26" s="190">
        <v>2251.83</v>
      </c>
      <c r="T26" s="189">
        <v>222931.17</v>
      </c>
      <c r="U26" s="190">
        <v>225183</v>
      </c>
      <c r="V26" s="197">
        <v>0.08</v>
      </c>
      <c r="W26" s="11">
        <v>20461.68</v>
      </c>
      <c r="X26" s="11">
        <v>235309.32</v>
      </c>
      <c r="Y26" s="11">
        <v>255771</v>
      </c>
    </row>
    <row r="27" spans="1:25" customFormat="1" ht="12.75" x14ac:dyDescent="0.2">
      <c r="A27" s="183" t="s">
        <v>459</v>
      </c>
      <c r="B27" s="188">
        <v>0.05</v>
      </c>
      <c r="C27" s="190">
        <v>9146.65</v>
      </c>
      <c r="D27" s="189">
        <v>173786.34999999998</v>
      </c>
      <c r="E27" s="190">
        <v>182932.99999999997</v>
      </c>
      <c r="F27" s="200">
        <v>0.05</v>
      </c>
      <c r="G27" s="194">
        <v>9719.7000000000007</v>
      </c>
      <c r="H27" s="189">
        <v>184674.3</v>
      </c>
      <c r="I27" s="190">
        <v>194394</v>
      </c>
      <c r="J27" s="191">
        <v>0.05</v>
      </c>
      <c r="K27" s="194">
        <v>9719.7000000000007</v>
      </c>
      <c r="L27" s="189">
        <v>184674.3</v>
      </c>
      <c r="M27" s="194">
        <v>194394</v>
      </c>
      <c r="N27" s="191">
        <v>0.05</v>
      </c>
      <c r="O27" s="190">
        <v>5684.2000000000007</v>
      </c>
      <c r="P27" s="189">
        <v>107999.80000000002</v>
      </c>
      <c r="Q27" s="190">
        <v>113684.00000000001</v>
      </c>
      <c r="R27" s="191">
        <v>0.05</v>
      </c>
      <c r="S27" s="190">
        <v>5684.2000000000007</v>
      </c>
      <c r="T27" s="189">
        <v>107999.80000000002</v>
      </c>
      <c r="U27" s="202">
        <v>113684.00000000001</v>
      </c>
      <c r="V27" s="197">
        <v>0.09</v>
      </c>
      <c r="W27" s="11">
        <v>20013.12</v>
      </c>
      <c r="X27" s="11">
        <v>202354.88</v>
      </c>
      <c r="Y27" s="11">
        <v>222368</v>
      </c>
    </row>
    <row r="28" spans="1:25" customFormat="1" ht="12.75" x14ac:dyDescent="0.2">
      <c r="A28" s="195" t="s">
        <v>201</v>
      </c>
      <c r="B28" s="188">
        <v>2.5000000000000001E-2</v>
      </c>
      <c r="C28" s="190">
        <v>2950</v>
      </c>
      <c r="D28" s="189">
        <v>115050</v>
      </c>
      <c r="E28" s="190">
        <v>118000</v>
      </c>
      <c r="F28" s="188">
        <v>3.7959183673469385E-2</v>
      </c>
      <c r="G28" s="190">
        <v>4650</v>
      </c>
      <c r="H28" s="189">
        <v>117850</v>
      </c>
      <c r="I28" s="190">
        <v>122500</v>
      </c>
      <c r="J28" s="192">
        <v>0.05</v>
      </c>
      <c r="K28" s="194">
        <v>6350</v>
      </c>
      <c r="L28" s="193">
        <v>120650</v>
      </c>
      <c r="M28" s="194">
        <v>127000</v>
      </c>
      <c r="N28" s="191">
        <v>0.02</v>
      </c>
      <c r="O28" s="190">
        <v>1520</v>
      </c>
      <c r="P28" s="189">
        <v>74480</v>
      </c>
      <c r="Q28" s="190">
        <v>76000</v>
      </c>
      <c r="R28" s="191">
        <v>0.02</v>
      </c>
      <c r="S28" s="190">
        <v>1520</v>
      </c>
      <c r="T28" s="189">
        <v>74480</v>
      </c>
      <c r="U28" s="202">
        <v>76000</v>
      </c>
      <c r="V28" s="197">
        <v>0.05</v>
      </c>
      <c r="W28" s="11">
        <v>7778</v>
      </c>
      <c r="X28" s="11">
        <v>147782</v>
      </c>
      <c r="Y28" s="11">
        <v>155560</v>
      </c>
    </row>
    <row r="29" spans="1:25" customFormat="1" ht="12.75" x14ac:dyDescent="0.2">
      <c r="A29" s="195" t="s">
        <v>34</v>
      </c>
      <c r="B29" s="188">
        <v>0.42</v>
      </c>
      <c r="C29" s="190">
        <v>71373.539999999994</v>
      </c>
      <c r="D29" s="189">
        <v>98563.46</v>
      </c>
      <c r="E29" s="190">
        <v>169937</v>
      </c>
      <c r="F29" s="191">
        <v>0.34366870318135578</v>
      </c>
      <c r="G29" s="190">
        <v>59457.434999999998</v>
      </c>
      <c r="H29" s="189">
        <v>113550.565</v>
      </c>
      <c r="I29" s="190">
        <v>173008</v>
      </c>
      <c r="J29" s="192">
        <v>0.27</v>
      </c>
      <c r="K29" s="194">
        <v>47541.33</v>
      </c>
      <c r="L29" s="193">
        <v>128537.67</v>
      </c>
      <c r="M29" s="194">
        <v>176079</v>
      </c>
      <c r="N29" s="191">
        <v>0.12</v>
      </c>
      <c r="O29" s="190">
        <v>8733.84</v>
      </c>
      <c r="P29" s="189">
        <v>64048.160000000003</v>
      </c>
      <c r="Q29" s="190">
        <v>72782</v>
      </c>
      <c r="R29" s="191">
        <v>0.26</v>
      </c>
      <c r="S29" s="190">
        <v>22206.86</v>
      </c>
      <c r="T29" s="189">
        <v>63204.14</v>
      </c>
      <c r="U29" s="190">
        <v>85411</v>
      </c>
      <c r="V29" s="197">
        <v>0.27</v>
      </c>
      <c r="W29" s="11">
        <v>34869.96</v>
      </c>
      <c r="X29" s="11">
        <v>94278.039999999979</v>
      </c>
      <c r="Y29" s="11">
        <v>129148</v>
      </c>
    </row>
    <row r="30" spans="1:25" customFormat="1" ht="12.75" x14ac:dyDescent="0.2">
      <c r="A30" s="195" t="s">
        <v>35</v>
      </c>
      <c r="B30" s="188">
        <v>7.8200000000000006E-2</v>
      </c>
      <c r="C30" s="190">
        <v>8015.7346000000007</v>
      </c>
      <c r="D30" s="189">
        <v>94487.265399999989</v>
      </c>
      <c r="E30" s="190">
        <v>102503</v>
      </c>
      <c r="F30" s="191">
        <v>0.09</v>
      </c>
      <c r="G30" s="190">
        <v>9002.6099999999988</v>
      </c>
      <c r="H30" s="189">
        <v>91026.389999999985</v>
      </c>
      <c r="I30" s="190">
        <v>100028.99999999999</v>
      </c>
      <c r="J30" s="200">
        <v>7.0000000000000007E-2</v>
      </c>
      <c r="K30" s="194">
        <v>7711.27</v>
      </c>
      <c r="L30" s="193">
        <v>102449.73</v>
      </c>
      <c r="M30" s="194">
        <v>110161</v>
      </c>
      <c r="N30" s="188">
        <v>3.4000000000000002E-2</v>
      </c>
      <c r="O30" s="190">
        <v>1386.1460000000002</v>
      </c>
      <c r="P30" s="189">
        <v>39382.853999999999</v>
      </c>
      <c r="Q30" s="190">
        <v>40769</v>
      </c>
      <c r="R30" s="191">
        <v>4.8000000000000001E-2</v>
      </c>
      <c r="S30" s="190">
        <v>1890.336</v>
      </c>
      <c r="T30" s="189">
        <v>37491.663999999997</v>
      </c>
      <c r="U30" s="190">
        <v>39382</v>
      </c>
      <c r="V30" s="197">
        <v>7.4999999999999997E-2</v>
      </c>
      <c r="W30" s="11">
        <v>6525.5249999999996</v>
      </c>
      <c r="X30" s="11">
        <v>80481.475000000006</v>
      </c>
      <c r="Y30" s="11">
        <v>87007</v>
      </c>
    </row>
    <row r="31" spans="1:25" customFormat="1" ht="12.75" x14ac:dyDescent="0.2">
      <c r="A31" s="195" t="s">
        <v>37</v>
      </c>
      <c r="B31" s="188">
        <v>0.18</v>
      </c>
      <c r="C31" s="190">
        <v>13405.68</v>
      </c>
      <c r="D31" s="189">
        <v>61070.320000000007</v>
      </c>
      <c r="E31" s="190">
        <v>74476</v>
      </c>
      <c r="F31" s="191">
        <v>0.1748118571354732</v>
      </c>
      <c r="G31" s="190">
        <v>13528.34</v>
      </c>
      <c r="H31" s="189">
        <v>63859.66</v>
      </c>
      <c r="I31" s="190">
        <v>77388</v>
      </c>
      <c r="J31" s="192">
        <v>0.17</v>
      </c>
      <c r="K31" s="194">
        <v>13651.000000000002</v>
      </c>
      <c r="L31" s="193">
        <v>66649</v>
      </c>
      <c r="M31" s="194">
        <v>80300</v>
      </c>
      <c r="N31" s="191">
        <v>0.1</v>
      </c>
      <c r="O31" s="190">
        <v>3128.9</v>
      </c>
      <c r="P31" s="189">
        <v>28160.1</v>
      </c>
      <c r="Q31" s="190">
        <v>31289</v>
      </c>
      <c r="R31" s="191">
        <v>0.09</v>
      </c>
      <c r="S31" s="190">
        <v>4519.8899999999994</v>
      </c>
      <c r="T31" s="189">
        <v>45701.109999999993</v>
      </c>
      <c r="U31" s="190">
        <v>50220.999999999993</v>
      </c>
      <c r="V31" s="197">
        <v>0.16</v>
      </c>
      <c r="W31" s="11">
        <v>12351.84</v>
      </c>
      <c r="X31" s="11">
        <v>64847.16</v>
      </c>
      <c r="Y31" s="11">
        <v>77199</v>
      </c>
    </row>
    <row r="32" spans="1:25" customFormat="1" ht="12.75" x14ac:dyDescent="0.2">
      <c r="A32" s="195" t="s">
        <v>36</v>
      </c>
      <c r="B32" s="188">
        <v>0.1308</v>
      </c>
      <c r="C32" s="190">
        <v>15306.608399999999</v>
      </c>
      <c r="D32" s="189">
        <v>101716.3916</v>
      </c>
      <c r="E32" s="190">
        <v>117023</v>
      </c>
      <c r="F32" s="188">
        <v>0.15281053854436238</v>
      </c>
      <c r="G32" s="190">
        <v>16179.2742</v>
      </c>
      <c r="H32" s="189">
        <v>89698.7258</v>
      </c>
      <c r="I32" s="190">
        <v>105878</v>
      </c>
      <c r="J32" s="192">
        <v>0.18</v>
      </c>
      <c r="K32" s="194">
        <v>17051.939999999999</v>
      </c>
      <c r="L32" s="193">
        <v>77681.06</v>
      </c>
      <c r="M32" s="194">
        <v>94733</v>
      </c>
      <c r="N32" s="191">
        <v>0.09</v>
      </c>
      <c r="O32" s="190">
        <v>4025.8799999999997</v>
      </c>
      <c r="P32" s="189">
        <v>40706.120000000003</v>
      </c>
      <c r="Q32" s="190">
        <v>44732</v>
      </c>
      <c r="R32" s="191">
        <v>0.12</v>
      </c>
      <c r="S32" s="190">
        <v>5908.44</v>
      </c>
      <c r="T32" s="189">
        <v>43328.56</v>
      </c>
      <c r="U32" s="203">
        <v>49237</v>
      </c>
      <c r="V32" s="197">
        <v>0.13</v>
      </c>
      <c r="W32" s="11">
        <v>1469.65</v>
      </c>
      <c r="X32" s="11">
        <v>9835.35</v>
      </c>
      <c r="Y32" s="11">
        <v>11305</v>
      </c>
    </row>
    <row r="33" spans="1:25" customFormat="1" ht="12.75" x14ac:dyDescent="0.2">
      <c r="A33" s="196"/>
      <c r="B33" s="201">
        <v>0.53796217099626287</v>
      </c>
      <c r="C33" s="208">
        <v>19055867.092999998</v>
      </c>
      <c r="D33" s="182">
        <v>16366450.906999996</v>
      </c>
      <c r="E33" s="182">
        <v>35422318</v>
      </c>
      <c r="F33" s="201">
        <v>0.55045973433701223</v>
      </c>
      <c r="G33" s="208">
        <v>20963938.064199992</v>
      </c>
      <c r="H33" s="182">
        <v>17120478.935800001</v>
      </c>
      <c r="I33" s="182">
        <v>38084417</v>
      </c>
      <c r="J33" s="204">
        <v>0.54850928945213406</v>
      </c>
      <c r="K33" s="209">
        <v>20932915.789999995</v>
      </c>
      <c r="L33" s="154">
        <v>17230368.210000001</v>
      </c>
      <c r="M33" s="154">
        <v>38163284</v>
      </c>
      <c r="N33" s="201">
        <v>0.27943859555589601</v>
      </c>
      <c r="O33" s="208">
        <v>3239173.398</v>
      </c>
      <c r="P33" s="182">
        <v>8352544.602</v>
      </c>
      <c r="Q33" s="182">
        <v>11591718</v>
      </c>
      <c r="R33" s="201">
        <v>0.31037821465704357</v>
      </c>
      <c r="S33" s="208">
        <v>4501688.3800000008</v>
      </c>
      <c r="T33" s="182">
        <v>10002191.619999997</v>
      </c>
      <c r="U33" s="182">
        <v>14503880</v>
      </c>
      <c r="V33" s="201">
        <v>0.5054290429656515</v>
      </c>
      <c r="W33" s="182">
        <v>16990451.66</v>
      </c>
      <c r="X33" s="182">
        <v>16625447.340000004</v>
      </c>
      <c r="Y33" s="182">
        <v>33615899</v>
      </c>
    </row>
    <row r="35" spans="1:25" x14ac:dyDescent="0.2">
      <c r="A35" s="16" t="s">
        <v>463</v>
      </c>
    </row>
    <row r="36" spans="1:25" x14ac:dyDescent="0.2">
      <c r="A36" s="17" t="s">
        <v>202</v>
      </c>
    </row>
    <row r="37" spans="1:25" x14ac:dyDescent="0.2">
      <c r="A37" s="177"/>
      <c r="H37" s="45"/>
    </row>
    <row r="38" spans="1:25" ht="12.75" x14ac:dyDescent="0.2">
      <c r="D38"/>
      <c r="E38" s="6"/>
      <c r="F38" s="5"/>
      <c r="G38" s="5"/>
      <c r="H38" s="5"/>
      <c r="I38" s="7"/>
      <c r="J38" s="5"/>
    </row>
  </sheetData>
  <pageMargins left="0.7" right="0.7" top="0.75" bottom="0.75" header="0.3" footer="0.3"/>
  <pageSetup paperSize="9" scale="42" orientation="portrait" r:id="rId1"/>
  <headerFooter>
    <oddFooter>&amp;C&amp;1#&amp;"Calibri"&amp;12&amp;K008000C1 Données Internes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49"/>
  <sheetViews>
    <sheetView zoomScaleNormal="100" workbookViewId="0"/>
  </sheetViews>
  <sheetFormatPr baseColWidth="10" defaultRowHeight="12.75" x14ac:dyDescent="0.2"/>
  <cols>
    <col min="1" max="1" width="34.28515625" customWidth="1"/>
    <col min="5" max="5" width="0" hidden="1" customWidth="1"/>
    <col min="6" max="6" width="12.42578125" customWidth="1"/>
  </cols>
  <sheetData>
    <row r="1" spans="1:8" x14ac:dyDescent="0.2">
      <c r="A1" s="178" t="s">
        <v>465</v>
      </c>
      <c r="B1" s="1"/>
      <c r="C1" s="1"/>
      <c r="D1" s="1"/>
      <c r="E1" s="1"/>
      <c r="F1" s="1"/>
      <c r="G1" s="1"/>
    </row>
    <row r="2" spans="1:8" x14ac:dyDescent="0.2">
      <c r="A2" s="32" t="s">
        <v>169</v>
      </c>
      <c r="B2" s="1"/>
      <c r="C2" s="1"/>
      <c r="D2" s="1"/>
      <c r="E2" s="1"/>
      <c r="F2" s="1"/>
      <c r="G2" s="1"/>
    </row>
    <row r="3" spans="1:8" x14ac:dyDescent="0.2">
      <c r="A3" s="1"/>
      <c r="B3" s="5"/>
      <c r="C3" s="5"/>
      <c r="D3" s="5"/>
      <c r="E3" s="88"/>
      <c r="F3" s="5"/>
      <c r="G3" s="1"/>
    </row>
    <row r="4" spans="1:8" ht="56.25" x14ac:dyDescent="0.2">
      <c r="A4" s="3"/>
      <c r="B4" s="24" t="s">
        <v>9</v>
      </c>
      <c r="C4" s="24" t="s">
        <v>10</v>
      </c>
      <c r="D4" s="24" t="s">
        <v>12</v>
      </c>
      <c r="E4" s="46" t="s">
        <v>14</v>
      </c>
      <c r="F4" s="99" t="s">
        <v>206</v>
      </c>
      <c r="G4" s="102" t="s">
        <v>208</v>
      </c>
      <c r="H4" s="24" t="s">
        <v>207</v>
      </c>
    </row>
    <row r="5" spans="1:8" x14ac:dyDescent="0.2">
      <c r="A5" s="27" t="s">
        <v>5</v>
      </c>
      <c r="B5" s="25">
        <v>9520270</v>
      </c>
      <c r="C5" s="25">
        <v>2697580</v>
      </c>
      <c r="D5" s="25">
        <v>2825039</v>
      </c>
      <c r="E5" s="47">
        <v>-13517921</v>
      </c>
      <c r="F5" s="100">
        <f>(7726321+82109)</f>
        <v>7808430</v>
      </c>
      <c r="G5" s="20">
        <v>-15229761</v>
      </c>
      <c r="H5" s="20">
        <v>-1711840</v>
      </c>
    </row>
    <row r="6" spans="1:8" x14ac:dyDescent="0.2">
      <c r="A6" s="28" t="s">
        <v>8</v>
      </c>
      <c r="B6" s="26">
        <v>8200000</v>
      </c>
      <c r="C6" s="26">
        <v>2000000</v>
      </c>
      <c r="D6" s="26">
        <v>2500000</v>
      </c>
      <c r="E6" s="47">
        <v>-11900000</v>
      </c>
      <c r="F6" s="101">
        <v>6903609</v>
      </c>
      <c r="G6" s="20">
        <v>-13196391</v>
      </c>
      <c r="H6" s="20">
        <v>-1296391</v>
      </c>
    </row>
    <row r="7" spans="1:8" x14ac:dyDescent="0.2">
      <c r="A7" s="29" t="s">
        <v>203</v>
      </c>
      <c r="B7" s="26">
        <v>3651620</v>
      </c>
      <c r="C7" s="26">
        <v>867270</v>
      </c>
      <c r="D7" s="26">
        <v>1044365</v>
      </c>
      <c r="E7" s="47">
        <v>-5391605</v>
      </c>
      <c r="F7" s="101">
        <v>3273709</v>
      </c>
      <c r="G7" s="20">
        <v>-5769516</v>
      </c>
      <c r="H7" s="20">
        <v>-377911</v>
      </c>
    </row>
    <row r="8" spans="1:8" x14ac:dyDescent="0.2">
      <c r="A8" s="30" t="s">
        <v>2</v>
      </c>
      <c r="B8" s="25">
        <v>3273870</v>
      </c>
      <c r="C8" s="25">
        <v>912800</v>
      </c>
      <c r="D8" s="25">
        <v>1500000</v>
      </c>
      <c r="E8" s="47">
        <v>-4134940</v>
      </c>
      <c r="F8" s="100">
        <v>3009512</v>
      </c>
      <c r="G8" s="20">
        <v>-4399298</v>
      </c>
      <c r="H8" s="20">
        <v>-264358</v>
      </c>
    </row>
    <row r="9" spans="1:8" x14ac:dyDescent="0.2">
      <c r="A9" s="30" t="s">
        <v>170</v>
      </c>
      <c r="B9" s="25">
        <v>2400270</v>
      </c>
      <c r="C9" s="25">
        <v>879200</v>
      </c>
      <c r="D9" s="25">
        <v>1224000</v>
      </c>
      <c r="E9" s="47">
        <v>-2697340</v>
      </c>
      <c r="F9" s="42">
        <v>1763921</v>
      </c>
      <c r="G9" s="20">
        <v>-3333689</v>
      </c>
      <c r="H9" s="20">
        <v>-636349</v>
      </c>
    </row>
    <row r="10" spans="1:8" x14ac:dyDescent="0.2">
      <c r="A10" s="27" t="s">
        <v>6</v>
      </c>
      <c r="B10" s="25">
        <v>2385300</v>
      </c>
      <c r="C10" s="25">
        <v>643830</v>
      </c>
      <c r="D10" s="25">
        <v>983797</v>
      </c>
      <c r="E10" s="47">
        <v>-3142973</v>
      </c>
      <c r="F10" s="42">
        <v>1992646</v>
      </c>
      <c r="G10" s="20">
        <v>-3535627</v>
      </c>
      <c r="H10" s="20">
        <v>-392654</v>
      </c>
    </row>
    <row r="11" spans="1:8" x14ac:dyDescent="0.2">
      <c r="A11" s="27" t="s">
        <v>20</v>
      </c>
      <c r="B11" s="25">
        <v>2920555</v>
      </c>
      <c r="C11" s="25">
        <v>793007</v>
      </c>
      <c r="D11" s="25">
        <v>1035288</v>
      </c>
      <c r="E11" s="47">
        <f>(C11-B11)+(D11-B11)</f>
        <v>-4012815</v>
      </c>
      <c r="F11" s="100">
        <v>2100251</v>
      </c>
      <c r="G11" s="20">
        <v>-4833119</v>
      </c>
      <c r="H11" s="20">
        <v>-820304</v>
      </c>
    </row>
    <row r="12" spans="1:8" x14ac:dyDescent="0.2">
      <c r="A12" s="27" t="s">
        <v>0</v>
      </c>
      <c r="B12" s="25">
        <v>1629200</v>
      </c>
      <c r="C12" s="25">
        <v>428570</v>
      </c>
      <c r="D12" s="25">
        <v>510335</v>
      </c>
      <c r="E12" s="47">
        <v>-2319495</v>
      </c>
      <c r="F12" s="100">
        <v>1754767</v>
      </c>
      <c r="G12" s="20">
        <v>-2193928</v>
      </c>
      <c r="H12" s="20">
        <v>125567</v>
      </c>
    </row>
    <row r="13" spans="1:8" x14ac:dyDescent="0.2">
      <c r="A13" s="31" t="s">
        <v>204</v>
      </c>
      <c r="B13" s="25">
        <v>1427280</v>
      </c>
      <c r="C13" s="25">
        <v>269430</v>
      </c>
      <c r="D13" s="25">
        <v>373334</v>
      </c>
      <c r="E13" s="47">
        <v>-2211796</v>
      </c>
      <c r="F13" s="100">
        <v>1201601</v>
      </c>
      <c r="G13" s="20">
        <v>-2437475</v>
      </c>
      <c r="H13" s="20">
        <v>-225679</v>
      </c>
    </row>
    <row r="14" spans="1:8" x14ac:dyDescent="0.2">
      <c r="A14" s="30" t="s">
        <v>7</v>
      </c>
      <c r="B14" s="25">
        <v>1392310</v>
      </c>
      <c r="C14" s="25">
        <v>407770</v>
      </c>
      <c r="D14" s="25">
        <f>F14/1.42</f>
        <v>704225.35211267613</v>
      </c>
      <c r="E14" s="47">
        <v>-984540</v>
      </c>
      <c r="F14" s="100">
        <v>1000000</v>
      </c>
      <c r="G14" s="20">
        <v>-2064934.647887324</v>
      </c>
      <c r="H14" s="20">
        <v>-392310</v>
      </c>
    </row>
    <row r="15" spans="1:8" x14ac:dyDescent="0.2">
      <c r="A15" s="30" t="s">
        <v>1</v>
      </c>
      <c r="B15" s="25">
        <v>1252110</v>
      </c>
      <c r="C15" s="25">
        <v>351020</v>
      </c>
      <c r="D15" s="25">
        <v>458679</v>
      </c>
      <c r="E15" s="47">
        <v>-1694521</v>
      </c>
      <c r="F15" s="100">
        <v>1071072</v>
      </c>
      <c r="G15" s="20">
        <v>-1875559</v>
      </c>
      <c r="H15" s="20">
        <v>-181038</v>
      </c>
    </row>
    <row r="16" spans="1:8" x14ac:dyDescent="0.2">
      <c r="A16" s="29" t="s">
        <v>205</v>
      </c>
      <c r="B16" s="26">
        <v>1112420</v>
      </c>
      <c r="C16" s="26">
        <v>438810</v>
      </c>
      <c r="D16" s="26">
        <v>615795</v>
      </c>
      <c r="E16" s="47">
        <v>-1170235</v>
      </c>
      <c r="F16" s="101">
        <v>1005357</v>
      </c>
      <c r="G16" s="20">
        <v>-1277298</v>
      </c>
      <c r="H16" s="20">
        <v>-107063</v>
      </c>
    </row>
    <row r="17" spans="1:8" x14ac:dyDescent="0.2">
      <c r="A17" s="27" t="s">
        <v>171</v>
      </c>
      <c r="B17" s="25">
        <v>1075190</v>
      </c>
      <c r="C17" s="25">
        <v>437790</v>
      </c>
      <c r="D17" s="25" t="s">
        <v>13</v>
      </c>
      <c r="E17" s="47"/>
      <c r="F17" s="100" t="s">
        <v>13</v>
      </c>
      <c r="G17" s="222" t="s">
        <v>472</v>
      </c>
      <c r="H17" s="222" t="s">
        <v>472</v>
      </c>
    </row>
    <row r="18" spans="1:8" x14ac:dyDescent="0.2">
      <c r="A18" s="27" t="s">
        <v>4</v>
      </c>
      <c r="B18" s="26">
        <v>1065000</v>
      </c>
      <c r="C18" s="26">
        <v>253410</v>
      </c>
      <c r="D18" s="26">
        <v>691000</v>
      </c>
      <c r="E18" s="47">
        <v>-1185590</v>
      </c>
      <c r="F18" s="100">
        <v>1398525</v>
      </c>
      <c r="G18" s="20">
        <v>-852065</v>
      </c>
      <c r="H18" s="20">
        <v>333525</v>
      </c>
    </row>
    <row r="19" spans="1:8" x14ac:dyDescent="0.2">
      <c r="A19" s="27" t="s">
        <v>3</v>
      </c>
      <c r="B19" s="25">
        <v>1029930</v>
      </c>
      <c r="C19" s="25">
        <v>231160</v>
      </c>
      <c r="D19" s="25">
        <v>380147</v>
      </c>
      <c r="E19" s="47">
        <v>-1448553</v>
      </c>
      <c r="F19" s="100">
        <v>1013520</v>
      </c>
      <c r="G19" s="20">
        <v>-1464963</v>
      </c>
      <c r="H19" s="20">
        <v>-16410</v>
      </c>
    </row>
    <row r="20" spans="1:8" x14ac:dyDescent="0.2">
      <c r="A20" s="1"/>
      <c r="B20" s="1"/>
      <c r="C20" s="1"/>
      <c r="D20" s="1"/>
      <c r="E20" s="1"/>
      <c r="F20" s="1"/>
      <c r="G20" s="1"/>
    </row>
    <row r="21" spans="1:8" x14ac:dyDescent="0.2">
      <c r="A21" s="34" t="s">
        <v>165</v>
      </c>
      <c r="B21" s="1"/>
      <c r="C21" s="1"/>
      <c r="D21" s="1"/>
      <c r="E21" s="1"/>
      <c r="F21" s="1"/>
      <c r="G21" s="1"/>
    </row>
    <row r="22" spans="1:8" x14ac:dyDescent="0.2">
      <c r="A22" s="34" t="s">
        <v>202</v>
      </c>
      <c r="B22" s="1"/>
      <c r="C22" s="1"/>
      <c r="D22" s="1"/>
      <c r="E22" s="1"/>
      <c r="F22" s="1"/>
      <c r="G22" s="1"/>
    </row>
    <row r="23" spans="1:8" x14ac:dyDescent="0.2">
      <c r="A23" s="1"/>
      <c r="B23" s="1"/>
      <c r="C23" s="1"/>
      <c r="D23" s="1"/>
      <c r="E23" s="1"/>
      <c r="F23" s="1"/>
      <c r="G23" s="1"/>
    </row>
    <row r="24" spans="1:8" x14ac:dyDescent="0.2">
      <c r="F24" s="1"/>
      <c r="G24" s="1"/>
    </row>
    <row r="25" spans="1:8" x14ac:dyDescent="0.2">
      <c r="F25" s="1"/>
      <c r="G25" s="1"/>
    </row>
    <row r="26" spans="1:8" x14ac:dyDescent="0.2">
      <c r="F26" s="1"/>
      <c r="G26" s="1"/>
    </row>
    <row r="29" spans="1:8" x14ac:dyDescent="0.2">
      <c r="E29" s="1"/>
    </row>
    <row r="30" spans="1:8" x14ac:dyDescent="0.2">
      <c r="E30" s="1"/>
    </row>
    <row r="31" spans="1:8" x14ac:dyDescent="0.2">
      <c r="E31" s="5"/>
    </row>
    <row r="32" spans="1:8" ht="56.25" x14ac:dyDescent="0.2">
      <c r="E32" s="24" t="s">
        <v>14</v>
      </c>
    </row>
    <row r="33" spans="5:5" x14ac:dyDescent="0.2">
      <c r="E33" s="33">
        <v>-13517921</v>
      </c>
    </row>
    <row r="34" spans="5:5" x14ac:dyDescent="0.2">
      <c r="E34" s="33">
        <v>-11900000</v>
      </c>
    </row>
    <row r="35" spans="5:5" x14ac:dyDescent="0.2">
      <c r="E35" s="33">
        <v>-5391605</v>
      </c>
    </row>
    <row r="36" spans="5:5" x14ac:dyDescent="0.2">
      <c r="E36" s="33">
        <v>-4134940</v>
      </c>
    </row>
    <row r="37" spans="5:5" x14ac:dyDescent="0.2">
      <c r="E37" s="33">
        <v>-2697340</v>
      </c>
    </row>
    <row r="38" spans="5:5" x14ac:dyDescent="0.2">
      <c r="E38" s="33">
        <v>-3142973</v>
      </c>
    </row>
    <row r="39" spans="5:5" x14ac:dyDescent="0.2">
      <c r="E39" s="33">
        <v>-2319495</v>
      </c>
    </row>
    <row r="40" spans="5:5" x14ac:dyDescent="0.2">
      <c r="E40" s="33">
        <v>-2211796</v>
      </c>
    </row>
    <row r="41" spans="5:5" x14ac:dyDescent="0.2">
      <c r="E41" s="33">
        <v>-984540</v>
      </c>
    </row>
    <row r="42" spans="5:5" x14ac:dyDescent="0.2">
      <c r="E42" s="33">
        <v>-1694521</v>
      </c>
    </row>
    <row r="43" spans="5:5" x14ac:dyDescent="0.2">
      <c r="E43" s="33">
        <v>-1170235</v>
      </c>
    </row>
    <row r="44" spans="5:5" x14ac:dyDescent="0.2">
      <c r="E44" s="35"/>
    </row>
    <row r="45" spans="5:5" x14ac:dyDescent="0.2">
      <c r="E45" s="33">
        <v>-1185590</v>
      </c>
    </row>
    <row r="46" spans="5:5" x14ac:dyDescent="0.2">
      <c r="E46" s="33">
        <v>-1448553</v>
      </c>
    </row>
    <row r="47" spans="5:5" x14ac:dyDescent="0.2">
      <c r="E47" s="1"/>
    </row>
    <row r="48" spans="5:5" x14ac:dyDescent="0.2">
      <c r="E48" s="1"/>
    </row>
    <row r="49" spans="5:5" x14ac:dyDescent="0.2">
      <c r="E49" s="1"/>
    </row>
  </sheetData>
  <pageMargins left="0.7" right="0.7" top="0.75" bottom="0.75" header="0.3" footer="0.3"/>
  <pageSetup paperSize="9" scale="76" orientation="portrait" r:id="rId1"/>
  <headerFooter>
    <oddFooter>&amp;C&amp;1#&amp;"Calibri"&amp;12&amp;K008000C1 Données Internes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03"/>
  <sheetViews>
    <sheetView tabSelected="1" zoomScaleNormal="100" zoomScaleSheetLayoutView="90" workbookViewId="0"/>
  </sheetViews>
  <sheetFormatPr baseColWidth="10" defaultRowHeight="12.75" x14ac:dyDescent="0.2"/>
  <cols>
    <col min="1" max="1" width="35.7109375" customWidth="1"/>
    <col min="2" max="2" width="47" customWidth="1"/>
    <col min="3" max="3" width="15" customWidth="1"/>
    <col min="4" max="4" width="8.7109375" customWidth="1"/>
    <col min="5" max="5" width="13.140625" bestFit="1" customWidth="1"/>
    <col min="6" max="6" width="18.7109375" customWidth="1"/>
    <col min="7" max="7" width="13.7109375" customWidth="1"/>
    <col min="8" max="8" width="19" customWidth="1"/>
    <col min="9" max="9" width="13.28515625" customWidth="1"/>
    <col min="10" max="10" width="14.28515625" customWidth="1"/>
    <col min="11" max="11" width="20.140625" customWidth="1"/>
  </cols>
  <sheetData>
    <row r="1" spans="1:11" x14ac:dyDescent="0.2">
      <c r="A1" s="146" t="s">
        <v>441</v>
      </c>
      <c r="B1" s="131"/>
      <c r="C1" s="131"/>
      <c r="D1" s="131"/>
      <c r="E1" s="177" t="s">
        <v>441</v>
      </c>
      <c r="F1" s="1"/>
      <c r="G1" s="1"/>
      <c r="H1" s="1"/>
      <c r="I1" s="1"/>
      <c r="J1" s="1"/>
      <c r="K1" s="1"/>
    </row>
    <row r="2" spans="1:11" x14ac:dyDescent="0.2">
      <c r="A2" s="131"/>
      <c r="B2" s="131"/>
      <c r="C2" s="131"/>
      <c r="D2" s="131"/>
      <c r="E2" s="1"/>
      <c r="F2" s="1"/>
      <c r="G2" s="1"/>
      <c r="H2" s="1"/>
      <c r="I2" s="1"/>
      <c r="J2" s="1"/>
      <c r="K2" s="1"/>
    </row>
    <row r="3" spans="1:11" ht="33.75" x14ac:dyDescent="0.2">
      <c r="A3" s="134" t="s">
        <v>439</v>
      </c>
      <c r="B3" s="147" t="s">
        <v>41</v>
      </c>
      <c r="C3" s="135" t="s">
        <v>42</v>
      </c>
      <c r="D3" s="135" t="s">
        <v>444</v>
      </c>
      <c r="E3" s="6"/>
      <c r="F3" s="1"/>
      <c r="G3" s="219">
        <v>2019</v>
      </c>
      <c r="H3" s="220"/>
      <c r="I3" s="169">
        <v>2021</v>
      </c>
      <c r="J3" s="219">
        <v>2022</v>
      </c>
      <c r="K3" s="221"/>
    </row>
    <row r="4" spans="1:11" ht="33.75" x14ac:dyDescent="0.2">
      <c r="A4" s="132">
        <v>2019</v>
      </c>
      <c r="B4" s="148">
        <v>8460990</v>
      </c>
      <c r="C4" s="148">
        <v>2768</v>
      </c>
      <c r="D4" s="148">
        <v>3056.7160404624278</v>
      </c>
      <c r="E4" s="78"/>
      <c r="F4" s="78"/>
      <c r="G4" s="170" t="s">
        <v>449</v>
      </c>
      <c r="H4" s="171" t="s">
        <v>450</v>
      </c>
      <c r="I4" s="172" t="s">
        <v>449</v>
      </c>
      <c r="J4" s="170" t="s">
        <v>449</v>
      </c>
      <c r="K4" s="171" t="s">
        <v>451</v>
      </c>
    </row>
    <row r="5" spans="1:11" ht="22.5" x14ac:dyDescent="0.2">
      <c r="A5" s="138" t="s">
        <v>446</v>
      </c>
      <c r="B5" s="139">
        <v>564066</v>
      </c>
      <c r="C5" s="139">
        <v>184.53333333333333</v>
      </c>
      <c r="D5" s="139">
        <v>3056.7160404624278</v>
      </c>
      <c r="E5" s="173" t="s">
        <v>445</v>
      </c>
      <c r="F5" s="174" t="s">
        <v>198</v>
      </c>
      <c r="G5" s="163">
        <f>B4</f>
        <v>8460990</v>
      </c>
      <c r="H5" s="58">
        <f>B6</f>
        <v>5645510</v>
      </c>
      <c r="I5" s="166">
        <f>B8</f>
        <v>3547356</v>
      </c>
      <c r="J5" s="160">
        <f>B10</f>
        <v>6334334</v>
      </c>
      <c r="K5" s="58">
        <f>B12</f>
        <v>5084334</v>
      </c>
    </row>
    <row r="6" spans="1:11" x14ac:dyDescent="0.2">
      <c r="A6" s="149" t="s">
        <v>442</v>
      </c>
      <c r="B6" s="152">
        <v>5645510</v>
      </c>
      <c r="C6" s="152">
        <v>2268</v>
      </c>
      <c r="D6" s="153">
        <v>2489.2019400352733</v>
      </c>
      <c r="E6" s="161"/>
      <c r="F6" s="162" t="s">
        <v>446</v>
      </c>
      <c r="G6" s="163">
        <f>B5</f>
        <v>564066</v>
      </c>
      <c r="H6" s="58">
        <f>B7</f>
        <v>434270</v>
      </c>
      <c r="I6" s="166">
        <f>B9</f>
        <v>236490.4</v>
      </c>
      <c r="J6" s="160">
        <f>B11</f>
        <v>422288.93333333335</v>
      </c>
      <c r="K6" s="58">
        <f>B13</f>
        <v>363166.71428571426</v>
      </c>
    </row>
    <row r="7" spans="1:11" x14ac:dyDescent="0.2">
      <c r="A7" s="150" t="s">
        <v>69</v>
      </c>
      <c r="B7" s="151">
        <v>434270</v>
      </c>
      <c r="C7" s="151">
        <v>174.46153846153845</v>
      </c>
      <c r="D7" s="151">
        <v>2489.2019400352733</v>
      </c>
      <c r="E7" s="175" t="s">
        <v>435</v>
      </c>
      <c r="F7" s="175" t="s">
        <v>448</v>
      </c>
      <c r="G7" s="164">
        <f>C4</f>
        <v>2768</v>
      </c>
      <c r="H7" s="157">
        <f>C6</f>
        <v>2268</v>
      </c>
      <c r="I7" s="167">
        <f>C8</f>
        <v>2124</v>
      </c>
      <c r="J7" s="159">
        <f>C10</f>
        <v>2231</v>
      </c>
      <c r="K7" s="157">
        <f>C12</f>
        <v>2038</v>
      </c>
    </row>
    <row r="8" spans="1:11" x14ac:dyDescent="0.2">
      <c r="A8" s="133">
        <v>2021</v>
      </c>
      <c r="B8" s="155">
        <v>3547356</v>
      </c>
      <c r="C8" s="155">
        <v>2124</v>
      </c>
      <c r="D8" s="154">
        <v>1670.129943502825</v>
      </c>
      <c r="E8" s="1"/>
      <c r="F8" s="156" t="s">
        <v>446</v>
      </c>
      <c r="G8" s="165">
        <f>C5</f>
        <v>184.53333333333333</v>
      </c>
      <c r="H8" s="42">
        <f>C7</f>
        <v>174.46153846153845</v>
      </c>
      <c r="I8" s="168">
        <f>C9</f>
        <v>141.6</v>
      </c>
      <c r="J8" s="158">
        <f>C11</f>
        <v>148.73333333333332</v>
      </c>
      <c r="K8" s="42">
        <f>C13</f>
        <v>145.57142857142858</v>
      </c>
    </row>
    <row r="9" spans="1:11" ht="22.5" x14ac:dyDescent="0.2">
      <c r="A9" s="136" t="s">
        <v>446</v>
      </c>
      <c r="B9" s="137">
        <v>236490.4</v>
      </c>
      <c r="C9" s="137">
        <v>141.6</v>
      </c>
      <c r="D9" s="137">
        <v>1670.129943502825</v>
      </c>
      <c r="E9" s="173" t="s">
        <v>445</v>
      </c>
      <c r="F9" s="173" t="s">
        <v>447</v>
      </c>
      <c r="G9" s="163">
        <f>D4</f>
        <v>3056.7160404624278</v>
      </c>
      <c r="H9" s="58">
        <f>D6</f>
        <v>2489.2019400352733</v>
      </c>
      <c r="I9" s="166">
        <f>D8</f>
        <v>1670.129943502825</v>
      </c>
      <c r="J9" s="160">
        <f>D10</f>
        <v>2839.2353204840879</v>
      </c>
      <c r="K9" s="58">
        <f>D12</f>
        <v>2494.7664376840039</v>
      </c>
    </row>
    <row r="10" spans="1:11" x14ac:dyDescent="0.2">
      <c r="A10" s="132">
        <v>2022</v>
      </c>
      <c r="B10" s="148">
        <v>6334334</v>
      </c>
      <c r="C10" s="148">
        <v>2231</v>
      </c>
      <c r="D10" s="148">
        <v>2839.2353204840879</v>
      </c>
      <c r="F10" s="1"/>
      <c r="G10" s="1"/>
      <c r="H10" s="1"/>
      <c r="I10" s="1"/>
      <c r="J10" s="1"/>
      <c r="K10" s="1"/>
    </row>
    <row r="11" spans="1:11" x14ac:dyDescent="0.2">
      <c r="A11" s="138" t="s">
        <v>446</v>
      </c>
      <c r="B11" s="139">
        <v>422288.93333333335</v>
      </c>
      <c r="C11" s="139">
        <v>148.73333333333332</v>
      </c>
      <c r="D11" s="139">
        <v>2839.2353204840883</v>
      </c>
      <c r="E11" s="98" t="s">
        <v>453</v>
      </c>
      <c r="F11" s="1"/>
      <c r="G11" s="1"/>
      <c r="H11" s="1"/>
      <c r="I11" s="1"/>
      <c r="J11" s="1"/>
      <c r="K11" s="1"/>
    </row>
    <row r="12" spans="1:11" x14ac:dyDescent="0.2">
      <c r="A12" s="149" t="s">
        <v>443</v>
      </c>
      <c r="B12" s="152">
        <v>5084334</v>
      </c>
      <c r="C12" s="152">
        <v>2038</v>
      </c>
      <c r="D12" s="152">
        <v>2494.7664376840039</v>
      </c>
      <c r="E12" s="1" t="s">
        <v>452</v>
      </c>
    </row>
    <row r="13" spans="1:11" x14ac:dyDescent="0.2">
      <c r="A13" s="150" t="s">
        <v>69</v>
      </c>
      <c r="B13" s="151">
        <v>363166.71428571426</v>
      </c>
      <c r="C13" s="151">
        <v>145.57142857142858</v>
      </c>
      <c r="D13" s="151">
        <v>2494.7664376840034</v>
      </c>
    </row>
    <row r="14" spans="1:11" x14ac:dyDescent="0.2">
      <c r="A14" s="131"/>
      <c r="B14" s="131"/>
      <c r="C14" s="131"/>
      <c r="D14" s="131"/>
    </row>
    <row r="15" spans="1:11" x14ac:dyDescent="0.2">
      <c r="B15" s="131"/>
      <c r="C15" s="131"/>
      <c r="D15" s="131"/>
    </row>
    <row r="16" spans="1:11" x14ac:dyDescent="0.2">
      <c r="A16" s="98" t="s">
        <v>438</v>
      </c>
      <c r="B16" s="131"/>
      <c r="C16" s="131"/>
      <c r="D16" s="131"/>
    </row>
    <row r="17" spans="1:4" x14ac:dyDescent="0.2">
      <c r="A17" s="98"/>
      <c r="B17" s="131"/>
      <c r="C17" s="131"/>
      <c r="D17" s="131"/>
    </row>
    <row r="18" spans="1:4" ht="22.5" x14ac:dyDescent="0.2">
      <c r="A18" s="104"/>
      <c r="B18" s="105"/>
      <c r="C18" s="106" t="s">
        <v>41</v>
      </c>
      <c r="D18" s="106" t="s">
        <v>42</v>
      </c>
    </row>
    <row r="19" spans="1:4" x14ac:dyDescent="0.2">
      <c r="A19" s="107" t="s">
        <v>40</v>
      </c>
      <c r="B19" s="108" t="s">
        <v>43</v>
      </c>
      <c r="C19" s="109"/>
      <c r="D19" s="109"/>
    </row>
    <row r="20" spans="1:4" x14ac:dyDescent="0.2">
      <c r="A20" s="110" t="s">
        <v>44</v>
      </c>
      <c r="B20" s="111" t="s">
        <v>45</v>
      </c>
      <c r="C20" s="112">
        <v>1423170</v>
      </c>
      <c r="D20" s="113">
        <v>183</v>
      </c>
    </row>
    <row r="21" spans="1:4" x14ac:dyDescent="0.2">
      <c r="A21" s="113" t="s">
        <v>46</v>
      </c>
      <c r="B21" s="114" t="s">
        <v>47</v>
      </c>
      <c r="C21" s="112">
        <v>1392310</v>
      </c>
      <c r="D21" s="113">
        <v>317</v>
      </c>
    </row>
    <row r="22" spans="1:4" x14ac:dyDescent="0.2">
      <c r="A22" s="113" t="s">
        <v>48</v>
      </c>
      <c r="B22" s="114" t="s">
        <v>49</v>
      </c>
      <c r="C22" s="112">
        <v>610000</v>
      </c>
      <c r="D22" s="115" t="s">
        <v>172</v>
      </c>
    </row>
    <row r="23" spans="1:4" x14ac:dyDescent="0.2">
      <c r="A23" s="113" t="s">
        <v>4</v>
      </c>
      <c r="B23" s="114" t="s">
        <v>50</v>
      </c>
      <c r="C23" s="112">
        <v>582000</v>
      </c>
      <c r="D23" s="113">
        <v>187</v>
      </c>
    </row>
    <row r="24" spans="1:4" x14ac:dyDescent="0.2">
      <c r="A24" s="113" t="s">
        <v>51</v>
      </c>
      <c r="B24" s="114" t="s">
        <v>52</v>
      </c>
      <c r="C24" s="112">
        <v>564960</v>
      </c>
      <c r="D24" s="113">
        <v>148</v>
      </c>
    </row>
    <row r="25" spans="1:4" x14ac:dyDescent="0.2">
      <c r="A25" s="113" t="s">
        <v>19</v>
      </c>
      <c r="B25" s="114" t="s">
        <v>53</v>
      </c>
      <c r="C25" s="112">
        <v>505700</v>
      </c>
      <c r="D25" s="113">
        <v>117</v>
      </c>
    </row>
    <row r="26" spans="1:4" x14ac:dyDescent="0.2">
      <c r="A26" s="113" t="s">
        <v>54</v>
      </c>
      <c r="B26" s="114" t="s">
        <v>55</v>
      </c>
      <c r="C26" s="112">
        <v>465000</v>
      </c>
      <c r="D26" s="113">
        <v>305</v>
      </c>
    </row>
    <row r="27" spans="1:4" x14ac:dyDescent="0.2">
      <c r="A27" s="113" t="s">
        <v>19</v>
      </c>
      <c r="B27" s="114" t="s">
        <v>56</v>
      </c>
      <c r="C27" s="112">
        <v>413460</v>
      </c>
      <c r="D27" s="113">
        <v>96</v>
      </c>
    </row>
    <row r="28" spans="1:4" x14ac:dyDescent="0.2">
      <c r="A28" s="113" t="s">
        <v>57</v>
      </c>
      <c r="B28" s="114" t="s">
        <v>58</v>
      </c>
      <c r="C28" s="112">
        <v>408770</v>
      </c>
      <c r="D28" s="113">
        <v>131</v>
      </c>
    </row>
    <row r="29" spans="1:4" x14ac:dyDescent="0.2">
      <c r="A29" s="113" t="s">
        <v>48</v>
      </c>
      <c r="B29" s="114" t="s">
        <v>59</v>
      </c>
      <c r="C29" s="112">
        <v>404000</v>
      </c>
      <c r="D29" s="113">
        <v>278</v>
      </c>
    </row>
    <row r="30" spans="1:4" x14ac:dyDescent="0.2">
      <c r="A30" s="113" t="s">
        <v>57</v>
      </c>
      <c r="B30" s="114" t="s">
        <v>60</v>
      </c>
      <c r="C30" s="112">
        <v>400915</v>
      </c>
      <c r="D30" s="113">
        <v>131</v>
      </c>
    </row>
    <row r="31" spans="1:4" x14ac:dyDescent="0.2">
      <c r="A31" s="113" t="s">
        <v>3</v>
      </c>
      <c r="B31" s="113" t="s">
        <v>61</v>
      </c>
      <c r="C31" s="116">
        <v>355820</v>
      </c>
      <c r="D31" s="113">
        <v>92</v>
      </c>
    </row>
    <row r="32" spans="1:4" x14ac:dyDescent="0.2">
      <c r="A32" s="113" t="s">
        <v>57</v>
      </c>
      <c r="B32" s="114" t="s">
        <v>62</v>
      </c>
      <c r="C32" s="112">
        <v>348980</v>
      </c>
      <c r="D32" s="113">
        <v>89</v>
      </c>
    </row>
    <row r="33" spans="1:4" x14ac:dyDescent="0.2">
      <c r="A33" s="113" t="s">
        <v>63</v>
      </c>
      <c r="B33" s="113" t="s">
        <v>64</v>
      </c>
      <c r="C33" s="116">
        <v>296970</v>
      </c>
      <c r="D33" s="113">
        <v>117</v>
      </c>
    </row>
    <row r="34" spans="1:4" x14ac:dyDescent="0.2">
      <c r="A34" s="113" t="s">
        <v>57</v>
      </c>
      <c r="B34" s="114" t="s">
        <v>65</v>
      </c>
      <c r="C34" s="112">
        <v>288935</v>
      </c>
      <c r="D34" s="113">
        <v>131</v>
      </c>
    </row>
    <row r="35" spans="1:4" x14ac:dyDescent="0.2">
      <c r="A35" s="117"/>
      <c r="B35" s="118"/>
      <c r="C35" s="117"/>
      <c r="D35" s="117"/>
    </row>
    <row r="36" spans="1:4" x14ac:dyDescent="0.2">
      <c r="A36" s="104"/>
      <c r="B36" s="119" t="s">
        <v>66</v>
      </c>
      <c r="C36" s="120">
        <f>SUM(C20:C34)</f>
        <v>8460990</v>
      </c>
      <c r="D36" s="120">
        <f>SUM(D23:D34)+SUM(D20:D21)+446</f>
        <v>2768</v>
      </c>
    </row>
    <row r="37" spans="1:4" x14ac:dyDescent="0.2">
      <c r="A37" s="104"/>
      <c r="B37" s="121" t="s">
        <v>67</v>
      </c>
      <c r="C37" s="122">
        <f>AVERAGE(C20:C34)</f>
        <v>564066</v>
      </c>
      <c r="D37" s="122">
        <f>D36/15</f>
        <v>184.53333333333333</v>
      </c>
    </row>
    <row r="38" spans="1:4" x14ac:dyDescent="0.2">
      <c r="A38" s="104"/>
      <c r="B38" s="123" t="s">
        <v>440</v>
      </c>
      <c r="C38" s="124">
        <f>SUM(C22:C34)</f>
        <v>5645510</v>
      </c>
      <c r="D38" s="124">
        <f>D36-D20-D21</f>
        <v>2268</v>
      </c>
    </row>
    <row r="39" spans="1:4" x14ac:dyDescent="0.2">
      <c r="A39" s="104"/>
      <c r="B39" s="121" t="s">
        <v>69</v>
      </c>
      <c r="C39" s="112">
        <f>AVERAGE(C22:C34)</f>
        <v>434270</v>
      </c>
      <c r="D39" s="112">
        <f>D38/13</f>
        <v>174.46153846153845</v>
      </c>
    </row>
    <row r="40" spans="1:4" x14ac:dyDescent="0.2">
      <c r="A40" s="107" t="s">
        <v>40</v>
      </c>
      <c r="B40" s="108" t="s">
        <v>70</v>
      </c>
      <c r="C40" s="117"/>
      <c r="D40" s="117"/>
    </row>
    <row r="41" spans="1:4" x14ac:dyDescent="0.2">
      <c r="A41" s="110" t="s">
        <v>51</v>
      </c>
      <c r="B41" s="111" t="s">
        <v>71</v>
      </c>
      <c r="C41" s="122">
        <v>356146</v>
      </c>
      <c r="D41" s="104">
        <v>124</v>
      </c>
    </row>
    <row r="42" spans="1:4" x14ac:dyDescent="0.2">
      <c r="A42" s="125" t="s">
        <v>72</v>
      </c>
      <c r="B42" s="125" t="s">
        <v>73</v>
      </c>
      <c r="C42" s="130">
        <v>300084</v>
      </c>
      <c r="D42" s="125">
        <v>103</v>
      </c>
    </row>
    <row r="43" spans="1:4" x14ac:dyDescent="0.2">
      <c r="A43" s="113" t="s">
        <v>57</v>
      </c>
      <c r="B43" s="114" t="s">
        <v>74</v>
      </c>
      <c r="C43" s="112">
        <v>297897</v>
      </c>
      <c r="D43" s="113">
        <v>89</v>
      </c>
    </row>
    <row r="44" spans="1:4" x14ac:dyDescent="0.2">
      <c r="A44" s="113" t="s">
        <v>44</v>
      </c>
      <c r="B44" s="114" t="s">
        <v>75</v>
      </c>
      <c r="C44" s="112">
        <v>275504</v>
      </c>
      <c r="D44" s="113">
        <v>210</v>
      </c>
    </row>
    <row r="45" spans="1:4" x14ac:dyDescent="0.2">
      <c r="A45" s="113" t="s">
        <v>76</v>
      </c>
      <c r="B45" s="114" t="s">
        <v>77</v>
      </c>
      <c r="C45" s="112">
        <v>265004</v>
      </c>
      <c r="D45" s="113">
        <v>136</v>
      </c>
    </row>
    <row r="46" spans="1:4" x14ac:dyDescent="0.2">
      <c r="A46" s="104" t="s">
        <v>78</v>
      </c>
      <c r="B46" s="104" t="s">
        <v>79</v>
      </c>
      <c r="C46" s="116">
        <v>258800</v>
      </c>
      <c r="D46" s="104">
        <v>113</v>
      </c>
    </row>
    <row r="47" spans="1:4" x14ac:dyDescent="0.2">
      <c r="A47" s="113" t="s">
        <v>57</v>
      </c>
      <c r="B47" s="104" t="s">
        <v>80</v>
      </c>
      <c r="C47" s="116">
        <v>225743</v>
      </c>
      <c r="D47" s="104">
        <v>138</v>
      </c>
    </row>
    <row r="48" spans="1:4" x14ac:dyDescent="0.2">
      <c r="A48" s="113" t="s">
        <v>23</v>
      </c>
      <c r="B48" s="114" t="s">
        <v>81</v>
      </c>
      <c r="C48" s="112">
        <v>217632</v>
      </c>
      <c r="D48" s="113">
        <v>117</v>
      </c>
    </row>
    <row r="49" spans="1:4" x14ac:dyDescent="0.2">
      <c r="A49" s="104" t="s">
        <v>82</v>
      </c>
      <c r="B49" s="104" t="s">
        <v>83</v>
      </c>
      <c r="C49" s="116">
        <v>215778</v>
      </c>
      <c r="D49" s="104">
        <v>291</v>
      </c>
    </row>
    <row r="50" spans="1:4" x14ac:dyDescent="0.2">
      <c r="A50" s="113" t="s">
        <v>51</v>
      </c>
      <c r="B50" s="114" t="s">
        <v>84</v>
      </c>
      <c r="C50" s="112">
        <v>211679</v>
      </c>
      <c r="D50" s="113">
        <v>110</v>
      </c>
    </row>
    <row r="51" spans="1:4" x14ac:dyDescent="0.2">
      <c r="A51" s="113" t="s">
        <v>85</v>
      </c>
      <c r="B51" s="114" t="s">
        <v>86</v>
      </c>
      <c r="C51" s="112">
        <v>207784</v>
      </c>
      <c r="D51" s="113">
        <v>122</v>
      </c>
    </row>
    <row r="52" spans="1:4" x14ac:dyDescent="0.2">
      <c r="A52" s="104" t="s">
        <v>39</v>
      </c>
      <c r="B52" s="104" t="s">
        <v>87</v>
      </c>
      <c r="C52" s="116">
        <v>192200</v>
      </c>
      <c r="D52" s="104">
        <v>124</v>
      </c>
    </row>
    <row r="53" spans="1:4" x14ac:dyDescent="0.2">
      <c r="A53" s="104" t="s">
        <v>88</v>
      </c>
      <c r="B53" s="104" t="s">
        <v>89</v>
      </c>
      <c r="C53" s="116">
        <v>183946</v>
      </c>
      <c r="D53" s="104">
        <v>228</v>
      </c>
    </row>
    <row r="54" spans="1:4" x14ac:dyDescent="0.2">
      <c r="A54" s="113" t="s">
        <v>90</v>
      </c>
      <c r="B54" s="114" t="s">
        <v>91</v>
      </c>
      <c r="C54" s="112">
        <v>179333</v>
      </c>
      <c r="D54" s="113">
        <v>123</v>
      </c>
    </row>
    <row r="55" spans="1:4" x14ac:dyDescent="0.2">
      <c r="A55" s="113" t="s">
        <v>57</v>
      </c>
      <c r="B55" s="114" t="s">
        <v>92</v>
      </c>
      <c r="C55" s="112">
        <v>159826</v>
      </c>
      <c r="D55" s="113">
        <v>96</v>
      </c>
    </row>
    <row r="56" spans="1:4" x14ac:dyDescent="0.2">
      <c r="A56" s="117"/>
      <c r="B56" s="118"/>
      <c r="C56" s="117"/>
      <c r="D56" s="117"/>
    </row>
    <row r="57" spans="1:4" x14ac:dyDescent="0.2">
      <c r="A57" s="104"/>
      <c r="B57" s="119" t="s">
        <v>93</v>
      </c>
      <c r="C57" s="120">
        <f>SUM(C41:C55)</f>
        <v>3547356</v>
      </c>
      <c r="D57" s="120">
        <f>SUM(D41:D55)</f>
        <v>2124</v>
      </c>
    </row>
    <row r="58" spans="1:4" x14ac:dyDescent="0.2">
      <c r="A58" s="104"/>
      <c r="B58" s="121" t="s">
        <v>94</v>
      </c>
      <c r="C58" s="122">
        <f>AVERAGE(C41:C55)</f>
        <v>236490.4</v>
      </c>
      <c r="D58" s="122">
        <f>AVERAGE(D41:D55)</f>
        <v>141.6</v>
      </c>
    </row>
    <row r="59" spans="1:4" x14ac:dyDescent="0.2">
      <c r="A59" s="103"/>
      <c r="B59" s="103"/>
      <c r="C59" s="103"/>
      <c r="D59" s="103"/>
    </row>
    <row r="60" spans="1:4" ht="22.5" x14ac:dyDescent="0.2">
      <c r="A60" s="104"/>
      <c r="B60" s="105"/>
      <c r="C60" s="106" t="s">
        <v>41</v>
      </c>
      <c r="D60" s="106" t="s">
        <v>42</v>
      </c>
    </row>
    <row r="61" spans="1:4" x14ac:dyDescent="0.2">
      <c r="A61" s="107" t="s">
        <v>40</v>
      </c>
      <c r="B61" s="108" t="s">
        <v>412</v>
      </c>
      <c r="C61" s="109"/>
      <c r="D61" s="109"/>
    </row>
    <row r="62" spans="1:4" x14ac:dyDescent="0.2">
      <c r="A62" s="110" t="s">
        <v>4</v>
      </c>
      <c r="B62" s="111" t="s">
        <v>416</v>
      </c>
      <c r="C62" s="112">
        <v>1250000</v>
      </c>
      <c r="D62" s="113">
        <v>193</v>
      </c>
    </row>
    <row r="63" spans="1:4" x14ac:dyDescent="0.2">
      <c r="A63" s="113" t="s">
        <v>317</v>
      </c>
      <c r="B63" s="114" t="s">
        <v>417</v>
      </c>
      <c r="C63" s="112">
        <v>724414</v>
      </c>
      <c r="D63" s="113">
        <v>124</v>
      </c>
    </row>
    <row r="64" spans="1:4" x14ac:dyDescent="0.2">
      <c r="A64" s="113" t="s">
        <v>418</v>
      </c>
      <c r="B64" s="114" t="s">
        <v>285</v>
      </c>
      <c r="C64" s="112">
        <v>723000</v>
      </c>
      <c r="D64" s="115">
        <v>143</v>
      </c>
    </row>
    <row r="65" spans="1:4" x14ac:dyDescent="0.2">
      <c r="A65" s="113" t="s">
        <v>317</v>
      </c>
      <c r="B65" s="114" t="s">
        <v>419</v>
      </c>
      <c r="C65" s="112">
        <v>552480</v>
      </c>
      <c r="D65" s="113">
        <v>96</v>
      </c>
    </row>
    <row r="66" spans="1:4" x14ac:dyDescent="0.2">
      <c r="A66" s="113" t="s">
        <v>3</v>
      </c>
      <c r="B66" s="114" t="s">
        <v>420</v>
      </c>
      <c r="C66" s="112">
        <v>352722</v>
      </c>
      <c r="D66" s="113">
        <v>131</v>
      </c>
    </row>
    <row r="67" spans="1:4" x14ac:dyDescent="0.2">
      <c r="A67" s="113" t="s">
        <v>317</v>
      </c>
      <c r="B67" s="114" t="s">
        <v>421</v>
      </c>
      <c r="C67" s="112">
        <v>336404</v>
      </c>
      <c r="D67" s="113">
        <v>89</v>
      </c>
    </row>
    <row r="68" spans="1:4" x14ac:dyDescent="0.2">
      <c r="A68" s="113" t="s">
        <v>3</v>
      </c>
      <c r="B68" s="114" t="s">
        <v>422</v>
      </c>
      <c r="C68" s="112">
        <v>329267</v>
      </c>
      <c r="D68" s="113">
        <v>110</v>
      </c>
    </row>
    <row r="69" spans="1:4" x14ac:dyDescent="0.2">
      <c r="A69" s="113" t="s">
        <v>325</v>
      </c>
      <c r="B69" s="114" t="s">
        <v>423</v>
      </c>
      <c r="C69" s="112">
        <v>315000</v>
      </c>
      <c r="D69" s="113">
        <v>88</v>
      </c>
    </row>
    <row r="70" spans="1:4" x14ac:dyDescent="0.2">
      <c r="A70" s="113" t="s">
        <v>424</v>
      </c>
      <c r="B70" s="114" t="s">
        <v>327</v>
      </c>
      <c r="C70" s="112">
        <v>286534</v>
      </c>
      <c r="D70" s="113">
        <v>259</v>
      </c>
    </row>
    <row r="71" spans="1:4" x14ac:dyDescent="0.2">
      <c r="A71" s="113" t="s">
        <v>424</v>
      </c>
      <c r="B71" s="114" t="s">
        <v>425</v>
      </c>
      <c r="C71" s="112">
        <v>286534</v>
      </c>
      <c r="D71" s="113">
        <v>259</v>
      </c>
    </row>
    <row r="72" spans="1:4" x14ac:dyDescent="0.2">
      <c r="A72" s="113" t="s">
        <v>427</v>
      </c>
      <c r="B72" s="114" t="s">
        <v>426</v>
      </c>
      <c r="C72" s="112">
        <v>251531</v>
      </c>
      <c r="D72" s="113">
        <v>112</v>
      </c>
    </row>
    <row r="73" spans="1:4" x14ac:dyDescent="0.2">
      <c r="A73" s="113" t="s">
        <v>427</v>
      </c>
      <c r="B73" s="113" t="s">
        <v>428</v>
      </c>
      <c r="C73" s="116">
        <v>239162</v>
      </c>
      <c r="D73" s="113">
        <v>108</v>
      </c>
    </row>
    <row r="74" spans="1:4" x14ac:dyDescent="0.2">
      <c r="A74" s="113" t="s">
        <v>343</v>
      </c>
      <c r="B74" s="114" t="s">
        <v>429</v>
      </c>
      <c r="C74" s="112">
        <v>233233</v>
      </c>
      <c r="D74" s="113">
        <v>264</v>
      </c>
    </row>
    <row r="75" spans="1:4" x14ac:dyDescent="0.2">
      <c r="A75" s="113" t="s">
        <v>430</v>
      </c>
      <c r="B75" s="113" t="s">
        <v>333</v>
      </c>
      <c r="C75" s="116">
        <v>228310</v>
      </c>
      <c r="D75" s="113">
        <v>117</v>
      </c>
    </row>
    <row r="76" spans="1:4" x14ac:dyDescent="0.2">
      <c r="A76" s="113" t="s">
        <v>430</v>
      </c>
      <c r="B76" s="114" t="s">
        <v>431</v>
      </c>
      <c r="C76" s="112">
        <v>225743</v>
      </c>
      <c r="D76" s="113">
        <v>138</v>
      </c>
    </row>
    <row r="77" spans="1:4" x14ac:dyDescent="0.2">
      <c r="A77" s="117"/>
      <c r="B77" s="118"/>
      <c r="C77" s="117"/>
      <c r="D77" s="117"/>
    </row>
    <row r="78" spans="1:4" x14ac:dyDescent="0.2">
      <c r="A78" s="104"/>
      <c r="B78" s="119" t="s">
        <v>436</v>
      </c>
      <c r="C78" s="120">
        <f>SUM(C62:C76)</f>
        <v>6334334</v>
      </c>
      <c r="D78" s="120">
        <f>SUM(D62:D76)</f>
        <v>2231</v>
      </c>
    </row>
    <row r="79" spans="1:4" x14ac:dyDescent="0.2">
      <c r="A79" s="104"/>
      <c r="B79" s="121" t="s">
        <v>437</v>
      </c>
      <c r="C79" s="122">
        <f>AVERAGE(C62:C76)</f>
        <v>422288.93333333335</v>
      </c>
      <c r="D79" s="122">
        <f>AVERAGE(D62:D76)</f>
        <v>148.73333333333332</v>
      </c>
    </row>
    <row r="80" spans="1:4" x14ac:dyDescent="0.2">
      <c r="A80" s="104"/>
      <c r="B80" s="123" t="s">
        <v>68</v>
      </c>
      <c r="C80" s="124">
        <f>SUM(C63:C76)</f>
        <v>5084334</v>
      </c>
      <c r="D80" s="124">
        <f>SUM(D63:D76)</f>
        <v>2038</v>
      </c>
    </row>
    <row r="81" spans="1:5" x14ac:dyDescent="0.2">
      <c r="A81" s="104"/>
      <c r="B81" s="121" t="s">
        <v>69</v>
      </c>
      <c r="C81" s="112">
        <f>C80/14</f>
        <v>363166.71428571426</v>
      </c>
      <c r="D81" s="112">
        <f>AVERAGE(D63:D76)</f>
        <v>145.57142857142858</v>
      </c>
    </row>
    <row r="82" spans="1:5" ht="13.5" thickBot="1" x14ac:dyDescent="0.25"/>
    <row r="83" spans="1:5" ht="13.5" thickBot="1" x14ac:dyDescent="0.25">
      <c r="A83" s="140" t="s">
        <v>40</v>
      </c>
      <c r="B83" s="141" t="s">
        <v>314</v>
      </c>
      <c r="C83" s="140" t="s">
        <v>413</v>
      </c>
      <c r="D83" s="140" t="s">
        <v>414</v>
      </c>
      <c r="E83" s="140" t="s">
        <v>415</v>
      </c>
    </row>
    <row r="84" spans="1:5" ht="13.5" thickBot="1" x14ac:dyDescent="0.25">
      <c r="A84" s="126" t="s">
        <v>4</v>
      </c>
      <c r="B84" s="127" t="s">
        <v>416</v>
      </c>
      <c r="C84" s="128">
        <v>44461</v>
      </c>
      <c r="D84" s="128">
        <v>44654</v>
      </c>
      <c r="E84" s="129">
        <v>1250000</v>
      </c>
    </row>
    <row r="85" spans="1:5" ht="13.5" thickBot="1" x14ac:dyDescent="0.25">
      <c r="A85" s="126" t="s">
        <v>317</v>
      </c>
      <c r="B85" s="127" t="s">
        <v>417</v>
      </c>
      <c r="C85" s="128">
        <v>44824</v>
      </c>
      <c r="D85" s="128">
        <v>44948</v>
      </c>
      <c r="E85" s="129">
        <v>724414</v>
      </c>
    </row>
    <row r="86" spans="1:5" ht="13.5" thickBot="1" x14ac:dyDescent="0.25">
      <c r="A86" s="126" t="s">
        <v>418</v>
      </c>
      <c r="B86" s="127" t="s">
        <v>285</v>
      </c>
      <c r="C86" s="128">
        <v>44665</v>
      </c>
      <c r="D86" s="128">
        <v>44808</v>
      </c>
      <c r="E86" s="129">
        <v>723000</v>
      </c>
    </row>
    <row r="87" spans="1:5" ht="13.5" thickBot="1" x14ac:dyDescent="0.25">
      <c r="A87" s="126" t="s">
        <v>317</v>
      </c>
      <c r="B87" s="127" t="s">
        <v>419</v>
      </c>
      <c r="C87" s="128">
        <v>44663</v>
      </c>
      <c r="D87" s="128">
        <v>44759</v>
      </c>
      <c r="E87" s="129">
        <v>552480</v>
      </c>
    </row>
    <row r="88" spans="1:5" ht="13.5" thickBot="1" x14ac:dyDescent="0.25">
      <c r="A88" s="126" t="s">
        <v>3</v>
      </c>
      <c r="B88" s="127" t="s">
        <v>420</v>
      </c>
      <c r="C88" s="128">
        <v>44622</v>
      </c>
      <c r="D88" s="128">
        <v>44753</v>
      </c>
      <c r="E88" s="129">
        <v>352722</v>
      </c>
    </row>
    <row r="89" spans="1:5" ht="13.5" thickBot="1" x14ac:dyDescent="0.25">
      <c r="A89" s="126" t="s">
        <v>317</v>
      </c>
      <c r="B89" s="127" t="s">
        <v>421</v>
      </c>
      <c r="C89" s="128">
        <v>44852</v>
      </c>
      <c r="D89" s="128">
        <v>44941</v>
      </c>
      <c r="E89" s="129">
        <v>336404</v>
      </c>
    </row>
    <row r="90" spans="1:5" ht="13.5" thickBot="1" x14ac:dyDescent="0.25">
      <c r="A90" s="126" t="s">
        <v>3</v>
      </c>
      <c r="B90" s="127" t="s">
        <v>422</v>
      </c>
      <c r="C90" s="128">
        <v>44832</v>
      </c>
      <c r="D90" s="128">
        <v>44942</v>
      </c>
      <c r="E90" s="129">
        <v>329267</v>
      </c>
    </row>
    <row r="91" spans="1:5" ht="13.5" thickBot="1" x14ac:dyDescent="0.25">
      <c r="A91" s="126" t="s">
        <v>325</v>
      </c>
      <c r="B91" s="127" t="s">
        <v>423</v>
      </c>
      <c r="C91" s="128">
        <v>44679</v>
      </c>
      <c r="D91" s="128">
        <v>44767</v>
      </c>
      <c r="E91" s="129">
        <v>315000</v>
      </c>
    </row>
    <row r="92" spans="1:5" ht="13.5" thickBot="1" x14ac:dyDescent="0.25">
      <c r="A92" s="126" t="s">
        <v>424</v>
      </c>
      <c r="B92" s="127" t="s">
        <v>327</v>
      </c>
      <c r="C92" s="128">
        <v>44667</v>
      </c>
      <c r="D92" s="128">
        <v>44926</v>
      </c>
      <c r="E92" s="129">
        <v>286534</v>
      </c>
    </row>
    <row r="93" spans="1:5" ht="13.5" thickBot="1" x14ac:dyDescent="0.25">
      <c r="A93" s="126" t="s">
        <v>424</v>
      </c>
      <c r="B93" s="127" t="s">
        <v>425</v>
      </c>
      <c r="C93" s="128">
        <v>44667</v>
      </c>
      <c r="D93" s="128">
        <v>44926</v>
      </c>
      <c r="E93" s="129">
        <v>286534</v>
      </c>
    </row>
    <row r="94" spans="1:5" ht="13.5" thickBot="1" x14ac:dyDescent="0.25">
      <c r="A94" s="126" t="s">
        <v>427</v>
      </c>
      <c r="B94" s="127" t="s">
        <v>426</v>
      </c>
      <c r="C94" s="128">
        <v>44814</v>
      </c>
      <c r="D94" s="128">
        <v>44926</v>
      </c>
      <c r="E94" s="129">
        <v>251531</v>
      </c>
    </row>
    <row r="95" spans="1:5" ht="13.5" thickBot="1" x14ac:dyDescent="0.25">
      <c r="A95" s="126" t="s">
        <v>427</v>
      </c>
      <c r="B95" s="127" t="s">
        <v>428</v>
      </c>
      <c r="C95" s="128">
        <v>44581</v>
      </c>
      <c r="D95" s="128">
        <v>44689</v>
      </c>
      <c r="E95" s="129">
        <v>239162</v>
      </c>
    </row>
    <row r="96" spans="1:5" ht="13.5" thickBot="1" x14ac:dyDescent="0.25">
      <c r="A96" s="126" t="s">
        <v>343</v>
      </c>
      <c r="B96" s="127" t="s">
        <v>429</v>
      </c>
      <c r="C96" s="128">
        <v>44516</v>
      </c>
      <c r="D96" s="128">
        <v>44780</v>
      </c>
      <c r="E96" s="129">
        <v>233233</v>
      </c>
    </row>
    <row r="97" spans="1:5" ht="13.5" thickBot="1" x14ac:dyDescent="0.25">
      <c r="A97" s="126" t="s">
        <v>430</v>
      </c>
      <c r="B97" s="127" t="s">
        <v>333</v>
      </c>
      <c r="C97" s="128">
        <v>44811</v>
      </c>
      <c r="D97" s="128">
        <v>44928</v>
      </c>
      <c r="E97" s="129">
        <v>228310</v>
      </c>
    </row>
    <row r="98" spans="1:5" ht="13.5" thickBot="1" x14ac:dyDescent="0.25">
      <c r="A98" s="126" t="s">
        <v>430</v>
      </c>
      <c r="B98" s="127" t="s">
        <v>431</v>
      </c>
      <c r="C98" s="128">
        <v>44489</v>
      </c>
      <c r="D98" s="128">
        <v>44627</v>
      </c>
      <c r="E98" s="129">
        <v>225743</v>
      </c>
    </row>
    <row r="99" spans="1:5" ht="13.5" thickBot="1" x14ac:dyDescent="0.25">
      <c r="A99" s="126" t="s">
        <v>430</v>
      </c>
      <c r="B99" s="127" t="s">
        <v>338</v>
      </c>
      <c r="C99" s="128">
        <v>44608</v>
      </c>
      <c r="D99" s="128">
        <v>44732</v>
      </c>
      <c r="E99" s="129">
        <v>197568</v>
      </c>
    </row>
    <row r="100" spans="1:5" ht="13.5" thickBot="1" x14ac:dyDescent="0.25">
      <c r="A100" s="126" t="s">
        <v>430</v>
      </c>
      <c r="B100" s="127" t="s">
        <v>339</v>
      </c>
      <c r="C100" s="128">
        <v>44839</v>
      </c>
      <c r="D100" s="128">
        <v>44942</v>
      </c>
      <c r="E100" s="129">
        <v>191205</v>
      </c>
    </row>
    <row r="101" spans="1:5" ht="13.5" thickBot="1" x14ac:dyDescent="0.25">
      <c r="A101" s="126" t="s">
        <v>325</v>
      </c>
      <c r="B101" s="127" t="s">
        <v>332</v>
      </c>
      <c r="C101" s="128">
        <v>44846</v>
      </c>
      <c r="D101" s="128">
        <v>44949</v>
      </c>
      <c r="E101" s="129">
        <v>188000</v>
      </c>
    </row>
    <row r="102" spans="1:5" ht="13.5" thickBot="1" x14ac:dyDescent="0.25">
      <c r="A102" s="142" t="s">
        <v>424</v>
      </c>
      <c r="B102" s="143" t="s">
        <v>432</v>
      </c>
      <c r="C102" s="144">
        <v>44335</v>
      </c>
      <c r="D102" s="144">
        <v>44626</v>
      </c>
      <c r="E102" s="145">
        <v>185919</v>
      </c>
    </row>
    <row r="103" spans="1:5" ht="13.5" thickBot="1" x14ac:dyDescent="0.25">
      <c r="A103" s="126" t="s">
        <v>434</v>
      </c>
      <c r="B103" s="127" t="s">
        <v>433</v>
      </c>
      <c r="C103" s="128">
        <v>44838</v>
      </c>
      <c r="D103" s="128">
        <v>44941</v>
      </c>
      <c r="E103" s="129">
        <v>183594</v>
      </c>
    </row>
  </sheetData>
  <mergeCells count="2">
    <mergeCell ref="G3:H3"/>
    <mergeCell ref="J3:K3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23AF88C7B15C49AD4126C5EAA7F794" ma:contentTypeVersion="6" ma:contentTypeDescription="Crée un document." ma:contentTypeScope="" ma:versionID="05ff75bba589a515d098747c1e5b51f5">
  <xsd:schema xmlns:xsd="http://www.w3.org/2001/XMLSchema" xmlns:xs="http://www.w3.org/2001/XMLSchema" xmlns:p="http://schemas.microsoft.com/office/2006/metadata/properties" xmlns:ns2="2b7f4eb0-8d1f-4628-a35b-e921d1a0bc3e" targetNamespace="http://schemas.microsoft.com/office/2006/metadata/properties" ma:root="true" ma:fieldsID="bc508ac6f186473885ed146d49bdb91e" ns2:_="">
    <xsd:import namespace="2b7f4eb0-8d1f-4628-a35b-e921d1a0bc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f4eb0-8d1f-4628-a35b-e921d1a0bc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C77D8E-4B2F-4241-ABBB-12554F6BF9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7f4eb0-8d1f-4628-a35b-e921d1a0bc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A8156F-CDC9-4AE1-9322-FBEE867EE4EC}">
  <ds:schemaRefs>
    <ds:schemaRef ds:uri="http://purl.org/dc/elements/1.1/"/>
    <ds:schemaRef ds:uri="http://schemas.microsoft.com/office/2006/metadata/properties"/>
    <ds:schemaRef ds:uri="2b7f4eb0-8d1f-4628-a35b-e921d1a0bc3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D3A6F59-95AA-4F98-A02D-E0C348DD54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Sommaire</vt:lpstr>
      <vt:lpstr>Graphique 1</vt:lpstr>
      <vt:lpstr>Graphique 2</vt:lpstr>
      <vt:lpstr>Graphique 3</vt:lpstr>
      <vt:lpstr>Tableau 1 (graphiques 3,4 et 5)</vt:lpstr>
      <vt:lpstr>Graphique 6</vt:lpstr>
      <vt:lpstr>Tableau 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DEPS, ministère de la Culture</dc:creator>
  <cp:lastModifiedBy>BAUCHAT Barbara</cp:lastModifiedBy>
  <cp:lastPrinted>2021-07-27T15:29:55Z</cp:lastPrinted>
  <dcterms:created xsi:type="dcterms:W3CDTF">2018-05-28T08:47:05Z</dcterms:created>
  <dcterms:modified xsi:type="dcterms:W3CDTF">2024-03-08T15:48:09Z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0x010100F123AF88C7B15C49AD4126C5EAA7F794</vt:lpwstr>
  </property>
  <property fmtid="{D5CDD505-2E9C-101B-9397-08002B2CF9AE}" pid="3" name="MSIP_Label_37f782e2-1048-4ae6-8561-ea50d7047004_Enabled">
    <vt:lpwstr>true</vt:lpwstr>
  </property>
  <property fmtid="{D5CDD505-2E9C-101B-9397-08002B2CF9AE}" pid="4" name="MSIP_Label_37f782e2-1048-4ae6-8561-ea50d7047004_SetDate">
    <vt:lpwstr>2024-03-08T15:48:09Z</vt:lpwstr>
  </property>
  <property fmtid="{D5CDD505-2E9C-101B-9397-08002B2CF9AE}" pid="5" name="MSIP_Label_37f782e2-1048-4ae6-8561-ea50d7047004_Method">
    <vt:lpwstr>Standard</vt:lpwstr>
  </property>
  <property fmtid="{D5CDD505-2E9C-101B-9397-08002B2CF9AE}" pid="6" name="MSIP_Label_37f782e2-1048-4ae6-8561-ea50d7047004_Name">
    <vt:lpwstr>Donnée Interne</vt:lpwstr>
  </property>
  <property fmtid="{D5CDD505-2E9C-101B-9397-08002B2CF9AE}" pid="7" name="MSIP_Label_37f782e2-1048-4ae6-8561-ea50d7047004_SiteId">
    <vt:lpwstr>5d0b42b2-7ba0-42b9-bd88-2dd1558bd190</vt:lpwstr>
  </property>
  <property fmtid="{D5CDD505-2E9C-101B-9397-08002B2CF9AE}" pid="8" name="MSIP_Label_37f782e2-1048-4ae6-8561-ea50d7047004_ActionId">
    <vt:lpwstr>8c59f843-1e0b-4e35-969e-d9a00d4b000b</vt:lpwstr>
  </property>
  <property fmtid="{D5CDD505-2E9C-101B-9397-08002B2CF9AE}" pid="9" name="MSIP_Label_37f782e2-1048-4ae6-8561-ea50d7047004_ContentBits">
    <vt:lpwstr>2</vt:lpwstr>
  </property>
</Properties>
</file>